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66925"/>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000B56F4-373C-4543-86B1-585ADE809229}" xr6:coauthVersionLast="47" xr6:coauthVersionMax="47" xr10:uidLastSave="{00000000-0000-0000-0000-000000000000}"/>
  <bookViews>
    <workbookView xWindow="-120" yWindow="-120" windowWidth="24240" windowHeight="13140" firstSheet="1" activeTab="1" xr2:uid="{19E45EFE-8604-49AA-A9C1-E602C9A85D64}"/>
  </bookViews>
  <sheets>
    <sheet name="INSTRUCTIONS" sheetId="1" state="hidden" r:id="rId1"/>
    <sheet name="BASE GRANTEE INFO &amp; UPDATES" sheetId="2" r:id="rId2"/>
    <sheet name="PROGRAM PROGRESS MONTHLY REPORT" sheetId="32" state="hidden" r:id="rId3"/>
    <sheet name="60 DAY PLAN WITH TIME LINE" sheetId="49" state="hidden" r:id="rId4"/>
    <sheet name="CADCA" sheetId="53" r:id="rId5"/>
    <sheet name="Activities for CADCA" sheetId="57" r:id="rId6"/>
    <sheet name="Teen Court" sheetId="55" r:id="rId7"/>
    <sheet name="Activites for Teen Court" sheetId="56" r:id="rId8"/>
    <sheet name="Sheet1" sheetId="50" state="hidden" r:id="rId9"/>
    <sheet name="2DEMOGRAPHICS" sheetId="4" state="hidden" r:id="rId10"/>
    <sheet name="4SCREENING -LINKAGE TO TX" sheetId="48" state="hidden" r:id="rId11"/>
    <sheet name="5Followup GPRA FOR FAST" sheetId="21" state="hidden" r:id="rId12"/>
    <sheet name="Sheet19" sheetId="42" state="hidden" r:id="rId13"/>
    <sheet name=" 3SCREENING EVIDENCED BASED TX" sheetId="22" state="hidden" r:id="rId14"/>
    <sheet name=" 4CLIENT ACTIVITY - DISCHARGES" sheetId="9" state="hidden" r:id="rId15"/>
    <sheet name="PRSS" sheetId="16" state="hidden" r:id="rId16"/>
    <sheet name="3MOUD STIMULANTS" sheetId="10" state="hidden" r:id="rId17"/>
    <sheet name="Followup NOMS" sheetId="17" state="hidden" r:id="rId18"/>
    <sheet name="5Followup GPRA" sheetId="11" state="hidden" r:id="rId19"/>
    <sheet name="5Followup OUD Meth" sheetId="18" state="hidden" r:id="rId20"/>
    <sheet name="6Evidence Based Training" sheetId="5" state="hidden" r:id="rId21"/>
    <sheet name="6TRAINING " sheetId="15" state="hidden" r:id="rId22"/>
    <sheet name="MEETINGS ACTIVITIES EVENTS" sheetId="20" state="hidden" r:id="rId23"/>
    <sheet name="7Naloxone Kits Distributed" sheetId="12" state="hidden" r:id="rId24"/>
    <sheet name="8SUMMARY" sheetId="13" state="hidden" r:id="rId25"/>
    <sheet name="Pick List " sheetId="3" state="hidden" r:id="rId26"/>
    <sheet name="2222222" sheetId="8" state="hidden" r:id="rId27"/>
  </sheets>
  <externalReferences>
    <externalReference r:id="rId28"/>
  </externalReferences>
  <definedNames>
    <definedName name="_Hlk510791888" localSheetId="8">Sheet1!$A$23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 i="55" l="1"/>
  <c r="H9" i="55"/>
  <c r="H8" i="55"/>
  <c r="H7" i="55"/>
  <c r="H6" i="55"/>
  <c r="E10" i="55"/>
  <c r="D10" i="55"/>
  <c r="D8" i="55"/>
  <c r="D7" i="55"/>
  <c r="D6" i="55"/>
  <c r="A2" i="55"/>
  <c r="A4" i="55"/>
  <c r="A3" i="55"/>
  <c r="A2" i="53"/>
  <c r="E6" i="53" l="1"/>
  <c r="Q16" i="53" l="1"/>
  <c r="Q15" i="53"/>
  <c r="Q14" i="53"/>
  <c r="Q13" i="53"/>
  <c r="E9" i="53"/>
  <c r="M5" i="53"/>
  <c r="A1" i="53"/>
  <c r="M9" i="53"/>
  <c r="M8" i="53"/>
  <c r="M7" i="53"/>
  <c r="E7" i="53"/>
  <c r="M6" i="53"/>
  <c r="E5" i="53"/>
  <c r="A3" i="53"/>
  <c r="A28" i="32"/>
  <c r="A27" i="32"/>
  <c r="A26" i="32"/>
  <c r="A25" i="32"/>
  <c r="A24" i="32"/>
  <c r="A23" i="32"/>
  <c r="A22" i="32"/>
  <c r="A21" i="32"/>
  <c r="A20" i="32"/>
  <c r="A19" i="32"/>
  <c r="A18" i="32"/>
  <c r="A17" i="32"/>
  <c r="A16" i="32"/>
  <c r="A15" i="32"/>
  <c r="A14" i="32"/>
  <c r="A13" i="32"/>
  <c r="E62" i="48"/>
  <c r="D62" i="48"/>
  <c r="C62" i="48"/>
  <c r="B62" i="48"/>
  <c r="A62" i="48"/>
  <c r="E61" i="48"/>
  <c r="D61" i="48"/>
  <c r="C61" i="48"/>
  <c r="B61" i="48"/>
  <c r="A61" i="48"/>
  <c r="E60" i="48"/>
  <c r="D60" i="48"/>
  <c r="C60" i="48"/>
  <c r="B60" i="48"/>
  <c r="A60" i="48"/>
  <c r="E59" i="48"/>
  <c r="D59" i="48"/>
  <c r="C59" i="48"/>
  <c r="B59" i="48"/>
  <c r="A59" i="48"/>
  <c r="E58" i="48"/>
  <c r="D58" i="48"/>
  <c r="C58" i="48"/>
  <c r="B58" i="48"/>
  <c r="A58" i="48"/>
  <c r="E57" i="48"/>
  <c r="D57" i="48"/>
  <c r="C57" i="48"/>
  <c r="B57" i="48"/>
  <c r="A57" i="48"/>
  <c r="E56" i="48"/>
  <c r="D56" i="48"/>
  <c r="C56" i="48"/>
  <c r="B56" i="48"/>
  <c r="A56" i="48"/>
  <c r="E55" i="48"/>
  <c r="D55" i="48"/>
  <c r="C55" i="48"/>
  <c r="B55" i="48"/>
  <c r="A55" i="48"/>
  <c r="E54" i="48"/>
  <c r="D54" i="48"/>
  <c r="C54" i="48"/>
  <c r="B54" i="48"/>
  <c r="A54" i="48"/>
  <c r="E53" i="48"/>
  <c r="D53" i="48"/>
  <c r="C53" i="48"/>
  <c r="B53" i="48"/>
  <c r="A53" i="48"/>
  <c r="E52" i="48"/>
  <c r="D52" i="48"/>
  <c r="C52" i="48"/>
  <c r="B52" i="48"/>
  <c r="A52" i="48"/>
  <c r="E51" i="48"/>
  <c r="D51" i="48"/>
  <c r="C51" i="48"/>
  <c r="B51" i="48"/>
  <c r="A51" i="48"/>
  <c r="E50" i="48"/>
  <c r="D50" i="48"/>
  <c r="C50" i="48"/>
  <c r="B50" i="48"/>
  <c r="A50" i="48"/>
  <c r="E49" i="48"/>
  <c r="D49" i="48"/>
  <c r="C49" i="48"/>
  <c r="B49" i="48"/>
  <c r="A49" i="48"/>
  <c r="E48" i="48"/>
  <c r="D48" i="48"/>
  <c r="C48" i="48"/>
  <c r="B48" i="48"/>
  <c r="A48" i="48"/>
  <c r="E47" i="48"/>
  <c r="D47" i="48"/>
  <c r="C47" i="48"/>
  <c r="B47" i="48"/>
  <c r="A47" i="48"/>
  <c r="E46" i="48"/>
  <c r="D46" i="48"/>
  <c r="C46" i="48"/>
  <c r="B46" i="48"/>
  <c r="A46" i="48"/>
  <c r="E45" i="48"/>
  <c r="D45" i="48"/>
  <c r="C45" i="48"/>
  <c r="B45" i="48"/>
  <c r="A45" i="48"/>
  <c r="E44" i="48"/>
  <c r="D44" i="48"/>
  <c r="C44" i="48"/>
  <c r="B44" i="48"/>
  <c r="A44" i="48"/>
  <c r="E43" i="48"/>
  <c r="D43" i="48"/>
  <c r="C43" i="48"/>
  <c r="B43" i="48"/>
  <c r="A43" i="48"/>
  <c r="E42" i="48"/>
  <c r="D42" i="48"/>
  <c r="C42" i="48"/>
  <c r="B42" i="48"/>
  <c r="A42" i="48"/>
  <c r="E41" i="48"/>
  <c r="D41" i="48"/>
  <c r="C41" i="48"/>
  <c r="B41" i="48"/>
  <c r="A41" i="48"/>
  <c r="E40" i="48"/>
  <c r="D40" i="48"/>
  <c r="C40" i="48"/>
  <c r="B40" i="48"/>
  <c r="A40" i="48"/>
  <c r="E39" i="48"/>
  <c r="D39" i="48"/>
  <c r="C39" i="48"/>
  <c r="B39" i="48"/>
  <c r="A39" i="48"/>
  <c r="E38" i="48"/>
  <c r="D38" i="48"/>
  <c r="C38" i="48"/>
  <c r="B38" i="48"/>
  <c r="A38" i="48"/>
  <c r="E37" i="48"/>
  <c r="D37" i="48"/>
  <c r="C37" i="48"/>
  <c r="B37" i="48"/>
  <c r="A37" i="48"/>
  <c r="E36" i="48"/>
  <c r="D36" i="48"/>
  <c r="C36" i="48"/>
  <c r="B36" i="48"/>
  <c r="A36" i="48"/>
  <c r="E35" i="48"/>
  <c r="D35" i="48"/>
  <c r="C35" i="48"/>
  <c r="B35" i="48"/>
  <c r="A35" i="48"/>
  <c r="E34" i="48"/>
  <c r="D34" i="48"/>
  <c r="C34" i="48"/>
  <c r="B34" i="48"/>
  <c r="A34" i="48"/>
  <c r="E33" i="48"/>
  <c r="D33" i="48"/>
  <c r="C33" i="48"/>
  <c r="B33" i="48"/>
  <c r="A33" i="48"/>
  <c r="E32" i="48"/>
  <c r="D32" i="48"/>
  <c r="C32" i="48"/>
  <c r="B32" i="48"/>
  <c r="A32" i="48"/>
  <c r="E31" i="48"/>
  <c r="D31" i="48"/>
  <c r="C31" i="48"/>
  <c r="B31" i="48"/>
  <c r="A31" i="48"/>
  <c r="E30" i="48"/>
  <c r="D30" i="48"/>
  <c r="C30" i="48"/>
  <c r="B30" i="48"/>
  <c r="A30" i="48"/>
  <c r="E29" i="48"/>
  <c r="D29" i="48"/>
  <c r="C29" i="48"/>
  <c r="B29" i="48"/>
  <c r="A29" i="48"/>
  <c r="E28" i="48"/>
  <c r="D28" i="48"/>
  <c r="C28" i="48"/>
  <c r="B28" i="48"/>
  <c r="A28" i="48"/>
  <c r="E27" i="48"/>
  <c r="D27" i="48"/>
  <c r="C27" i="48"/>
  <c r="B27" i="48"/>
  <c r="A27" i="48"/>
  <c r="E26" i="48"/>
  <c r="D26" i="48"/>
  <c r="C26" i="48"/>
  <c r="B26" i="48"/>
  <c r="A26" i="48"/>
  <c r="E25" i="48"/>
  <c r="D25" i="48"/>
  <c r="C25" i="48"/>
  <c r="B25" i="48"/>
  <c r="A25" i="48"/>
  <c r="E24" i="48"/>
  <c r="D24" i="48"/>
  <c r="C24" i="48"/>
  <c r="B24" i="48"/>
  <c r="A24" i="48"/>
  <c r="E23" i="48"/>
  <c r="D23" i="48"/>
  <c r="C23" i="48"/>
  <c r="B23" i="48"/>
  <c r="A23" i="48"/>
  <c r="E22" i="48"/>
  <c r="D22" i="48"/>
  <c r="C22" i="48"/>
  <c r="B22" i="48"/>
  <c r="A22" i="48"/>
  <c r="E21" i="48"/>
  <c r="D21" i="48"/>
  <c r="C21" i="48"/>
  <c r="B21" i="48"/>
  <c r="A21" i="48"/>
  <c r="E20" i="48"/>
  <c r="D20" i="48"/>
  <c r="C20" i="48"/>
  <c r="B20" i="48"/>
  <c r="A20" i="48"/>
  <c r="E19" i="48"/>
  <c r="D19" i="48"/>
  <c r="C19" i="48"/>
  <c r="B19" i="48"/>
  <c r="A19" i="48"/>
  <c r="E18" i="48"/>
  <c r="D18" i="48"/>
  <c r="C18" i="48"/>
  <c r="B18" i="48"/>
  <c r="A18" i="48"/>
  <c r="E17" i="48"/>
  <c r="D17" i="48"/>
  <c r="C17" i="48"/>
  <c r="B17" i="48"/>
  <c r="A17" i="48"/>
  <c r="E16" i="48"/>
  <c r="D16" i="48"/>
  <c r="C16" i="48"/>
  <c r="B16" i="48"/>
  <c r="A16" i="48"/>
  <c r="E15" i="48"/>
  <c r="D15" i="48"/>
  <c r="C15" i="48"/>
  <c r="B15" i="48"/>
  <c r="A15" i="48"/>
  <c r="E14" i="48"/>
  <c r="D14" i="48"/>
  <c r="C14" i="48"/>
  <c r="B14" i="48"/>
  <c r="A14" i="48"/>
  <c r="E13" i="48"/>
  <c r="D13" i="48"/>
  <c r="C13" i="48"/>
  <c r="B13" i="48"/>
  <c r="A13" i="48"/>
  <c r="L10" i="48"/>
  <c r="G10" i="48"/>
  <c r="E10" i="48"/>
  <c r="L9" i="48"/>
  <c r="L8" i="48"/>
  <c r="E8" i="48"/>
  <c r="L7" i="48"/>
  <c r="E7" i="48"/>
  <c r="L6" i="48"/>
  <c r="E6" i="48"/>
  <c r="A4" i="48"/>
  <c r="A3" i="48"/>
  <c r="A2" i="48"/>
  <c r="M10" i="32" l="1"/>
  <c r="H10" i="32"/>
  <c r="E10" i="32"/>
  <c r="M9" i="32"/>
  <c r="M8" i="32"/>
  <c r="E8" i="32"/>
  <c r="M7" i="32"/>
  <c r="E7" i="32"/>
  <c r="M6" i="32"/>
  <c r="E6" i="32"/>
  <c r="A4" i="32"/>
  <c r="A3" i="32"/>
  <c r="A2" i="32"/>
  <c r="W1" i="15" l="1"/>
  <c r="V1" i="15"/>
  <c r="G62" i="22" l="1"/>
  <c r="D62" i="22"/>
  <c r="C62" i="22"/>
  <c r="B62" i="22"/>
  <c r="A62" i="22"/>
  <c r="G61" i="22"/>
  <c r="D61" i="22"/>
  <c r="C61" i="22"/>
  <c r="B61" i="22"/>
  <c r="A61" i="22"/>
  <c r="G60" i="22"/>
  <c r="D60" i="22"/>
  <c r="C60" i="22"/>
  <c r="B60" i="22"/>
  <c r="A60" i="22"/>
  <c r="G59" i="22"/>
  <c r="D59" i="22"/>
  <c r="C59" i="22"/>
  <c r="B59" i="22"/>
  <c r="A59" i="22"/>
  <c r="G58" i="22"/>
  <c r="D58" i="22"/>
  <c r="C58" i="22"/>
  <c r="B58" i="22"/>
  <c r="A58" i="22"/>
  <c r="G57" i="22"/>
  <c r="D57" i="22"/>
  <c r="C57" i="22"/>
  <c r="B57" i="22"/>
  <c r="A57" i="22"/>
  <c r="G56" i="22"/>
  <c r="D56" i="22"/>
  <c r="C56" i="22"/>
  <c r="B56" i="22"/>
  <c r="A56" i="22"/>
  <c r="G55" i="22"/>
  <c r="D55" i="22"/>
  <c r="C55" i="22"/>
  <c r="B55" i="22"/>
  <c r="A55" i="22"/>
  <c r="G54" i="22"/>
  <c r="D54" i="22"/>
  <c r="C54" i="22"/>
  <c r="B54" i="22"/>
  <c r="A54" i="22"/>
  <c r="G53" i="22"/>
  <c r="D53" i="22"/>
  <c r="C53" i="22"/>
  <c r="B53" i="22"/>
  <c r="A53" i="22"/>
  <c r="G52" i="22"/>
  <c r="D52" i="22"/>
  <c r="C52" i="22"/>
  <c r="B52" i="22"/>
  <c r="A52" i="22"/>
  <c r="G51" i="22"/>
  <c r="D51" i="22"/>
  <c r="C51" i="22"/>
  <c r="B51" i="22"/>
  <c r="A51" i="22"/>
  <c r="G50" i="22"/>
  <c r="D50" i="22"/>
  <c r="C50" i="22"/>
  <c r="B50" i="22"/>
  <c r="A50" i="22"/>
  <c r="G49" i="22"/>
  <c r="D49" i="22"/>
  <c r="C49" i="22"/>
  <c r="B49" i="22"/>
  <c r="A49" i="22"/>
  <c r="G48" i="22"/>
  <c r="D48" i="22"/>
  <c r="C48" i="22"/>
  <c r="B48" i="22"/>
  <c r="A48" i="22"/>
  <c r="G47" i="22"/>
  <c r="D47" i="22"/>
  <c r="C47" i="22"/>
  <c r="B47" i="22"/>
  <c r="A47" i="22"/>
  <c r="G46" i="22"/>
  <c r="D46" i="22"/>
  <c r="C46" i="22"/>
  <c r="B46" i="22"/>
  <c r="A46" i="22"/>
  <c r="G45" i="22"/>
  <c r="D45" i="22"/>
  <c r="C45" i="22"/>
  <c r="B45" i="22"/>
  <c r="A45" i="22"/>
  <c r="G44" i="22"/>
  <c r="D44" i="22"/>
  <c r="C44" i="22"/>
  <c r="B44" i="22"/>
  <c r="A44" i="22"/>
  <c r="G43" i="22"/>
  <c r="D43" i="22"/>
  <c r="C43" i="22"/>
  <c r="B43" i="22"/>
  <c r="A43" i="22"/>
  <c r="G42" i="22"/>
  <c r="D42" i="22"/>
  <c r="C42" i="22"/>
  <c r="B42" i="22"/>
  <c r="A42" i="22"/>
  <c r="G41" i="22"/>
  <c r="D41" i="22"/>
  <c r="C41" i="22"/>
  <c r="B41" i="22"/>
  <c r="A41" i="22"/>
  <c r="G40" i="22"/>
  <c r="D40" i="22"/>
  <c r="C40" i="22"/>
  <c r="B40" i="22"/>
  <c r="A40" i="22"/>
  <c r="G39" i="22"/>
  <c r="D39" i="22"/>
  <c r="C39" i="22"/>
  <c r="B39" i="22"/>
  <c r="A39" i="22"/>
  <c r="G38" i="22"/>
  <c r="D38" i="22"/>
  <c r="C38" i="22"/>
  <c r="B38" i="22"/>
  <c r="A38" i="22"/>
  <c r="G37" i="22"/>
  <c r="D37" i="22"/>
  <c r="C37" i="22"/>
  <c r="B37" i="22"/>
  <c r="A37" i="22"/>
  <c r="G36" i="22"/>
  <c r="D36" i="22"/>
  <c r="C36" i="22"/>
  <c r="B36" i="22"/>
  <c r="A36" i="22"/>
  <c r="G35" i="22"/>
  <c r="D35" i="22"/>
  <c r="C35" i="22"/>
  <c r="B35" i="22"/>
  <c r="A35" i="22"/>
  <c r="G34" i="22"/>
  <c r="D34" i="22"/>
  <c r="C34" i="22"/>
  <c r="B34" i="22"/>
  <c r="A34" i="22"/>
  <c r="G33" i="22"/>
  <c r="D33" i="22"/>
  <c r="C33" i="22"/>
  <c r="B33" i="22"/>
  <c r="A33" i="22"/>
  <c r="G32" i="22"/>
  <c r="D32" i="22"/>
  <c r="C32" i="22"/>
  <c r="B32" i="22"/>
  <c r="A32" i="22"/>
  <c r="G31" i="22"/>
  <c r="D31" i="22"/>
  <c r="C31" i="22"/>
  <c r="B31" i="22"/>
  <c r="A31" i="22"/>
  <c r="G30" i="22"/>
  <c r="D30" i="22"/>
  <c r="C30" i="22"/>
  <c r="B30" i="22"/>
  <c r="A30" i="22"/>
  <c r="G29" i="22"/>
  <c r="D29" i="22"/>
  <c r="C29" i="22"/>
  <c r="B29" i="22"/>
  <c r="A29" i="22"/>
  <c r="G28" i="22"/>
  <c r="D28" i="22"/>
  <c r="C28" i="22"/>
  <c r="B28" i="22"/>
  <c r="A28" i="22"/>
  <c r="G27" i="22"/>
  <c r="D27" i="22"/>
  <c r="C27" i="22"/>
  <c r="B27" i="22"/>
  <c r="A27" i="22"/>
  <c r="G26" i="22"/>
  <c r="D26" i="22"/>
  <c r="C26" i="22"/>
  <c r="B26" i="22"/>
  <c r="A26" i="22"/>
  <c r="G25" i="22"/>
  <c r="D25" i="22"/>
  <c r="C25" i="22"/>
  <c r="B25" i="22"/>
  <c r="A25" i="22"/>
  <c r="G24" i="22"/>
  <c r="D24" i="22"/>
  <c r="C24" i="22"/>
  <c r="B24" i="22"/>
  <c r="A24" i="22"/>
  <c r="G23" i="22"/>
  <c r="D23" i="22"/>
  <c r="C23" i="22"/>
  <c r="B23" i="22"/>
  <c r="A23" i="22"/>
  <c r="G22" i="22"/>
  <c r="D22" i="22"/>
  <c r="C22" i="22"/>
  <c r="B22" i="22"/>
  <c r="A22" i="22"/>
  <c r="G21" i="22"/>
  <c r="D21" i="22"/>
  <c r="C21" i="22"/>
  <c r="B21" i="22"/>
  <c r="A21" i="22"/>
  <c r="G20" i="22"/>
  <c r="D20" i="22"/>
  <c r="C20" i="22"/>
  <c r="B20" i="22"/>
  <c r="A20" i="22"/>
  <c r="G19" i="22"/>
  <c r="D19" i="22"/>
  <c r="C19" i="22"/>
  <c r="B19" i="22"/>
  <c r="A19" i="22"/>
  <c r="G18" i="22"/>
  <c r="D18" i="22"/>
  <c r="C18" i="22"/>
  <c r="B18" i="22"/>
  <c r="A18" i="22"/>
  <c r="G17" i="22"/>
  <c r="D17" i="22"/>
  <c r="C17" i="22"/>
  <c r="B17" i="22"/>
  <c r="A17" i="22"/>
  <c r="G16" i="22"/>
  <c r="D16" i="22"/>
  <c r="C16" i="22"/>
  <c r="B16" i="22"/>
  <c r="A16" i="22"/>
  <c r="G15" i="22"/>
  <c r="D15" i="22"/>
  <c r="C15" i="22"/>
  <c r="B15" i="22"/>
  <c r="A15" i="22"/>
  <c r="G14" i="22"/>
  <c r="D14" i="22"/>
  <c r="C14" i="22"/>
  <c r="B14" i="22"/>
  <c r="A14" i="22"/>
  <c r="G13" i="22"/>
  <c r="D13" i="22"/>
  <c r="C13" i="22"/>
  <c r="B13" i="22"/>
  <c r="A13" i="22"/>
  <c r="BW10" i="22"/>
  <c r="BN10" i="22"/>
  <c r="BL10" i="22"/>
  <c r="BW9" i="22"/>
  <c r="BW8" i="22"/>
  <c r="BL8" i="22"/>
  <c r="BW7" i="22"/>
  <c r="BL7" i="22"/>
  <c r="BW6" i="22"/>
  <c r="BL6" i="22"/>
  <c r="BH4" i="22"/>
  <c r="BH3" i="22"/>
  <c r="BH2" i="22"/>
  <c r="M9" i="1"/>
  <c r="M8" i="1"/>
  <c r="M7" i="1"/>
  <c r="M6" i="1"/>
  <c r="M5" i="1"/>
  <c r="M6" i="4"/>
  <c r="H9" i="1"/>
  <c r="H10" i="4"/>
  <c r="E9" i="1"/>
  <c r="E7" i="1"/>
  <c r="E6" i="1"/>
  <c r="E5" i="1"/>
  <c r="E6" i="4"/>
  <c r="A3" i="1"/>
  <c r="A2" i="1"/>
  <c r="A1" i="1"/>
  <c r="A2" i="4"/>
  <c r="E62" i="21" l="1"/>
  <c r="AM62" i="21" s="1"/>
  <c r="D62" i="21"/>
  <c r="C62" i="21"/>
  <c r="B62" i="21"/>
  <c r="A62" i="21"/>
  <c r="E61" i="21"/>
  <c r="AM61" i="21" s="1"/>
  <c r="D61" i="21"/>
  <c r="C61" i="21"/>
  <c r="B61" i="21"/>
  <c r="A61" i="21"/>
  <c r="E60" i="21"/>
  <c r="X60" i="21" s="1"/>
  <c r="D60" i="21"/>
  <c r="C60" i="21"/>
  <c r="B60" i="21"/>
  <c r="A60" i="21"/>
  <c r="E59" i="21"/>
  <c r="AM59" i="21" s="1"/>
  <c r="D59" i="21"/>
  <c r="C59" i="21"/>
  <c r="B59" i="21"/>
  <c r="A59" i="21"/>
  <c r="E58" i="21"/>
  <c r="L58" i="21" s="1"/>
  <c r="D58" i="21"/>
  <c r="C58" i="21"/>
  <c r="B58" i="21"/>
  <c r="A58" i="21"/>
  <c r="E57" i="21"/>
  <c r="AC57" i="21" s="1"/>
  <c r="D57" i="21"/>
  <c r="C57" i="21"/>
  <c r="B57" i="21"/>
  <c r="A57" i="21"/>
  <c r="E56" i="21"/>
  <c r="AM56" i="21" s="1"/>
  <c r="D56" i="21"/>
  <c r="C56" i="21"/>
  <c r="B56" i="21"/>
  <c r="A56" i="21"/>
  <c r="E55" i="21"/>
  <c r="L55" i="21" s="1"/>
  <c r="D55" i="21"/>
  <c r="C55" i="21"/>
  <c r="B55" i="21"/>
  <c r="A55" i="21"/>
  <c r="E54" i="21"/>
  <c r="AM54" i="21" s="1"/>
  <c r="D54" i="21"/>
  <c r="C54" i="21"/>
  <c r="B54" i="21"/>
  <c r="A54" i="21"/>
  <c r="AC53" i="21"/>
  <c r="X53" i="21"/>
  <c r="E53" i="21"/>
  <c r="AM53" i="21" s="1"/>
  <c r="D53" i="21"/>
  <c r="C53" i="21"/>
  <c r="B53" i="21"/>
  <c r="A53" i="21"/>
  <c r="AM52" i="21"/>
  <c r="E52" i="21"/>
  <c r="X52" i="21" s="1"/>
  <c r="D52" i="21"/>
  <c r="C52" i="21"/>
  <c r="B52" i="21"/>
  <c r="A52" i="21"/>
  <c r="E51" i="21"/>
  <c r="AM51" i="21" s="1"/>
  <c r="D51" i="21"/>
  <c r="C51" i="21"/>
  <c r="B51" i="21"/>
  <c r="A51" i="21"/>
  <c r="E50" i="21"/>
  <c r="L50" i="21" s="1"/>
  <c r="D50" i="21"/>
  <c r="C50" i="21"/>
  <c r="B50" i="21"/>
  <c r="A50" i="21"/>
  <c r="E49" i="21"/>
  <c r="AC49" i="21" s="1"/>
  <c r="D49" i="21"/>
  <c r="C49" i="21"/>
  <c r="B49" i="21"/>
  <c r="A49" i="21"/>
  <c r="L48" i="21"/>
  <c r="E48" i="21"/>
  <c r="AM48" i="21" s="1"/>
  <c r="D48" i="21"/>
  <c r="C48" i="21"/>
  <c r="B48" i="21"/>
  <c r="A48" i="21"/>
  <c r="AM47" i="21"/>
  <c r="X47" i="21"/>
  <c r="R47" i="21"/>
  <c r="E47" i="21"/>
  <c r="L47" i="21" s="1"/>
  <c r="D47" i="21"/>
  <c r="C47" i="21"/>
  <c r="B47" i="21"/>
  <c r="A47" i="21"/>
  <c r="E46" i="21"/>
  <c r="AM46" i="21" s="1"/>
  <c r="D46" i="21"/>
  <c r="C46" i="21"/>
  <c r="B46" i="21"/>
  <c r="A46" i="21"/>
  <c r="E45" i="21"/>
  <c r="AM45" i="21" s="1"/>
  <c r="D45" i="21"/>
  <c r="C45" i="21"/>
  <c r="B45" i="21"/>
  <c r="A45" i="21"/>
  <c r="AM44" i="21"/>
  <c r="E44" i="21"/>
  <c r="X44" i="21" s="1"/>
  <c r="D44" i="21"/>
  <c r="C44" i="21"/>
  <c r="B44" i="21"/>
  <c r="A44" i="21"/>
  <c r="E43" i="21"/>
  <c r="AM43" i="21" s="1"/>
  <c r="D43" i="21"/>
  <c r="C43" i="21"/>
  <c r="B43" i="21"/>
  <c r="A43" i="21"/>
  <c r="AC42" i="21"/>
  <c r="R42" i="21"/>
  <c r="G42" i="21"/>
  <c r="E42" i="21"/>
  <c r="L42" i="21" s="1"/>
  <c r="D42" i="21"/>
  <c r="C42" i="21"/>
  <c r="B42" i="21"/>
  <c r="A42" i="21"/>
  <c r="E41" i="21"/>
  <c r="AC41" i="21" s="1"/>
  <c r="D41" i="21"/>
  <c r="C41" i="21"/>
  <c r="B41" i="21"/>
  <c r="A41" i="21"/>
  <c r="E40" i="21"/>
  <c r="AM40" i="21" s="1"/>
  <c r="D40" i="21"/>
  <c r="C40" i="21"/>
  <c r="B40" i="21"/>
  <c r="A40" i="21"/>
  <c r="AM39" i="21"/>
  <c r="R39" i="21"/>
  <c r="E39" i="21"/>
  <c r="L39" i="21" s="1"/>
  <c r="D39" i="21"/>
  <c r="C39" i="21"/>
  <c r="B39" i="21"/>
  <c r="A39" i="21"/>
  <c r="E38" i="21"/>
  <c r="AM38" i="21" s="1"/>
  <c r="D38" i="21"/>
  <c r="C38" i="21"/>
  <c r="B38" i="21"/>
  <c r="A38" i="21"/>
  <c r="E37" i="21"/>
  <c r="AM37" i="21" s="1"/>
  <c r="D37" i="21"/>
  <c r="C37" i="21"/>
  <c r="B37" i="21"/>
  <c r="A37" i="21"/>
  <c r="E36" i="21"/>
  <c r="X36" i="21" s="1"/>
  <c r="D36" i="21"/>
  <c r="C36" i="21"/>
  <c r="B36" i="21"/>
  <c r="A36" i="21"/>
  <c r="E35" i="21"/>
  <c r="AM35" i="21" s="1"/>
  <c r="D35" i="21"/>
  <c r="C35" i="21"/>
  <c r="B35" i="21"/>
  <c r="A35" i="21"/>
  <c r="E34" i="21"/>
  <c r="L34" i="21" s="1"/>
  <c r="D34" i="21"/>
  <c r="C34" i="21"/>
  <c r="B34" i="21"/>
  <c r="A34" i="21"/>
  <c r="E33" i="21"/>
  <c r="AC33" i="21" s="1"/>
  <c r="D33" i="21"/>
  <c r="C33" i="21"/>
  <c r="B33" i="21"/>
  <c r="A33" i="21"/>
  <c r="E32" i="21"/>
  <c r="AM32" i="21" s="1"/>
  <c r="D32" i="21"/>
  <c r="C32" i="21"/>
  <c r="B32" i="21"/>
  <c r="A32" i="21"/>
  <c r="E31" i="21"/>
  <c r="L31" i="21" s="1"/>
  <c r="D31" i="21"/>
  <c r="C31" i="21"/>
  <c r="B31" i="21"/>
  <c r="A31" i="21"/>
  <c r="E30" i="21"/>
  <c r="AC30" i="21" s="1"/>
  <c r="D30" i="21"/>
  <c r="C30" i="21"/>
  <c r="B30" i="21"/>
  <c r="A30" i="21"/>
  <c r="AC29" i="21"/>
  <c r="E29" i="21"/>
  <c r="AM29" i="21" s="1"/>
  <c r="D29" i="21"/>
  <c r="C29" i="21"/>
  <c r="B29" i="21"/>
  <c r="A29" i="21"/>
  <c r="E28" i="21"/>
  <c r="R28" i="21" s="1"/>
  <c r="D28" i="21"/>
  <c r="C28" i="21"/>
  <c r="B28" i="21"/>
  <c r="A28" i="21"/>
  <c r="E27" i="21"/>
  <c r="AC27" i="21" s="1"/>
  <c r="D27" i="21"/>
  <c r="C27" i="21"/>
  <c r="B27" i="21"/>
  <c r="A27" i="21"/>
  <c r="X26" i="21"/>
  <c r="L26" i="21"/>
  <c r="E26" i="21"/>
  <c r="R26" i="21" s="1"/>
  <c r="D26" i="21"/>
  <c r="C26" i="21"/>
  <c r="B26" i="21"/>
  <c r="A26" i="21"/>
  <c r="E25" i="21"/>
  <c r="G25" i="21" s="1"/>
  <c r="D25" i="21"/>
  <c r="C25" i="21"/>
  <c r="B25" i="21"/>
  <c r="A25" i="21"/>
  <c r="E24" i="21"/>
  <c r="AM24" i="21" s="1"/>
  <c r="D24" i="21"/>
  <c r="C24" i="21"/>
  <c r="B24" i="21"/>
  <c r="A24" i="21"/>
  <c r="AM23" i="21"/>
  <c r="E23" i="21"/>
  <c r="G23" i="21" s="1"/>
  <c r="D23" i="21"/>
  <c r="C23" i="21"/>
  <c r="B23" i="21"/>
  <c r="A23" i="21"/>
  <c r="E22" i="21"/>
  <c r="AC22" i="21" s="1"/>
  <c r="D22" i="21"/>
  <c r="C22" i="21"/>
  <c r="B22" i="21"/>
  <c r="A22" i="21"/>
  <c r="E21" i="21"/>
  <c r="AM21" i="21" s="1"/>
  <c r="D21" i="21"/>
  <c r="C21" i="21"/>
  <c r="B21" i="21"/>
  <c r="A21" i="21"/>
  <c r="E20" i="21"/>
  <c r="R20" i="21" s="1"/>
  <c r="D20" i="21"/>
  <c r="C20" i="21"/>
  <c r="B20" i="21"/>
  <c r="A20" i="21"/>
  <c r="E19" i="21"/>
  <c r="X19" i="21" s="1"/>
  <c r="D19" i="21"/>
  <c r="C19" i="21"/>
  <c r="B19" i="21"/>
  <c r="A19" i="21"/>
  <c r="E18" i="21"/>
  <c r="R18" i="21" s="1"/>
  <c r="D18" i="21"/>
  <c r="C18" i="21"/>
  <c r="B18" i="21"/>
  <c r="A18" i="21"/>
  <c r="E17" i="21"/>
  <c r="X17" i="21" s="1"/>
  <c r="D17" i="21"/>
  <c r="C17" i="21"/>
  <c r="B17" i="21"/>
  <c r="A17" i="21"/>
  <c r="E16" i="21"/>
  <c r="AM16" i="21" s="1"/>
  <c r="D16" i="21"/>
  <c r="C16" i="21"/>
  <c r="B16" i="21"/>
  <c r="A16" i="21"/>
  <c r="L15" i="21"/>
  <c r="E15" i="21"/>
  <c r="G15" i="21" s="1"/>
  <c r="D15" i="21"/>
  <c r="C15" i="21"/>
  <c r="B15" i="21"/>
  <c r="A15" i="21"/>
  <c r="E14" i="21"/>
  <c r="AC14" i="21" s="1"/>
  <c r="D14" i="21"/>
  <c r="C14" i="21"/>
  <c r="B14" i="21"/>
  <c r="A14" i="21"/>
  <c r="E13" i="21"/>
  <c r="AM13" i="21" s="1"/>
  <c r="D13" i="21"/>
  <c r="C13" i="21"/>
  <c r="B13" i="21"/>
  <c r="A13" i="21"/>
  <c r="BA10" i="21"/>
  <c r="AV10" i="21"/>
  <c r="AT10" i="21"/>
  <c r="BA9" i="21"/>
  <c r="BA8" i="21"/>
  <c r="AT8" i="21"/>
  <c r="BA7" i="21"/>
  <c r="AT7" i="21"/>
  <c r="BA6" i="21"/>
  <c r="AT6" i="21"/>
  <c r="AP4" i="21"/>
  <c r="AP3" i="21"/>
  <c r="AP2" i="21"/>
  <c r="AM55" i="21" l="1"/>
  <c r="L61" i="21"/>
  <c r="AM15" i="21"/>
  <c r="R34" i="21"/>
  <c r="G50" i="21"/>
  <c r="R61" i="21"/>
  <c r="R15" i="21"/>
  <c r="X34" i="21"/>
  <c r="L37" i="21"/>
  <c r="AC45" i="21"/>
  <c r="R50" i="21"/>
  <c r="AM20" i="21"/>
  <c r="L23" i="21"/>
  <c r="R37" i="21"/>
  <c r="AC50" i="21"/>
  <c r="G29" i="21"/>
  <c r="G47" i="21"/>
  <c r="G59" i="21"/>
  <c r="R29" i="21"/>
  <c r="L18" i="21"/>
  <c r="G58" i="21"/>
  <c r="X18" i="21"/>
  <c r="X29" i="21"/>
  <c r="X42" i="21"/>
  <c r="G43" i="21"/>
  <c r="X50" i="21"/>
  <c r="G51" i="21"/>
  <c r="R58" i="21"/>
  <c r="AM60" i="21"/>
  <c r="X61" i="21"/>
  <c r="X58" i="21"/>
  <c r="G39" i="21"/>
  <c r="AM42" i="21"/>
  <c r="AM50" i="21"/>
  <c r="G55" i="21"/>
  <c r="AC58" i="21"/>
  <c r="L59" i="21"/>
  <c r="R55" i="21"/>
  <c r="AM58" i="21"/>
  <c r="R23" i="21"/>
  <c r="R31" i="21"/>
  <c r="X39" i="21"/>
  <c r="L45" i="21"/>
  <c r="AC47" i="21"/>
  <c r="L53" i="21"/>
  <c r="X55" i="21"/>
  <c r="L56" i="21"/>
  <c r="X31" i="21"/>
  <c r="AC39" i="21"/>
  <c r="R45" i="21"/>
  <c r="R53" i="21"/>
  <c r="AC55" i="21"/>
  <c r="L32" i="21"/>
  <c r="G35" i="21"/>
  <c r="AM36" i="21"/>
  <c r="L40" i="21"/>
  <c r="R13" i="21"/>
  <c r="X15" i="21"/>
  <c r="L16" i="21"/>
  <c r="AC18" i="21"/>
  <c r="L19" i="21"/>
  <c r="R21" i="21"/>
  <c r="X23" i="21"/>
  <c r="L24" i="21"/>
  <c r="AC26" i="21"/>
  <c r="L27" i="21"/>
  <c r="AM28" i="21"/>
  <c r="AC31" i="21"/>
  <c r="R32" i="21"/>
  <c r="AC34" i="21"/>
  <c r="L35" i="21"/>
  <c r="X37" i="21"/>
  <c r="R40" i="21"/>
  <c r="L43" i="21"/>
  <c r="X45" i="21"/>
  <c r="R48" i="21"/>
  <c r="L51" i="21"/>
  <c r="R56" i="21"/>
  <c r="G27" i="21"/>
  <c r="X13" i="21"/>
  <c r="AC15" i="21"/>
  <c r="R16" i="21"/>
  <c r="AM18" i="21"/>
  <c r="R19" i="21"/>
  <c r="X21" i="21"/>
  <c r="AC23" i="21"/>
  <c r="R24" i="21"/>
  <c r="AM26" i="21"/>
  <c r="R27" i="21"/>
  <c r="AM31" i="21"/>
  <c r="X32" i="21"/>
  <c r="AM34" i="21"/>
  <c r="R35" i="21"/>
  <c r="AC37" i="21"/>
  <c r="X40" i="21"/>
  <c r="R43" i="21"/>
  <c r="X48" i="21"/>
  <c r="R51" i="21"/>
  <c r="X56" i="21"/>
  <c r="R59" i="21"/>
  <c r="AC61" i="21"/>
  <c r="G19" i="21"/>
  <c r="AC21" i="21"/>
  <c r="X24" i="21"/>
  <c r="AM27" i="21"/>
  <c r="G21" i="21"/>
  <c r="AM19" i="21"/>
  <c r="G31" i="21"/>
  <c r="G34" i="21"/>
  <c r="G13" i="21"/>
  <c r="AC13" i="21"/>
  <c r="X16" i="21"/>
  <c r="AC19" i="21"/>
  <c r="G18" i="21"/>
  <c r="G26" i="21"/>
  <c r="G37" i="21"/>
  <c r="G45" i="21"/>
  <c r="G53" i="21"/>
  <c r="G61" i="21"/>
  <c r="G30" i="21"/>
  <c r="L22" i="21"/>
  <c r="G33" i="21"/>
  <c r="L46" i="21"/>
  <c r="L54" i="21"/>
  <c r="AM14" i="21"/>
  <c r="AC17" i="21"/>
  <c r="X20" i="21"/>
  <c r="AM22" i="21"/>
  <c r="AC25" i="21"/>
  <c r="X28" i="21"/>
  <c r="AM30" i="21"/>
  <c r="L13" i="21"/>
  <c r="G16" i="21"/>
  <c r="AM17" i="21"/>
  <c r="AC20" i="21"/>
  <c r="L21" i="21"/>
  <c r="G24" i="21"/>
  <c r="AM25" i="21"/>
  <c r="AC28" i="21"/>
  <c r="L29" i="21"/>
  <c r="G32" i="21"/>
  <c r="AM33" i="21"/>
  <c r="AC36" i="21"/>
  <c r="G40" i="21"/>
  <c r="AM41" i="21"/>
  <c r="AC44" i="21"/>
  <c r="G48" i="21"/>
  <c r="AM49" i="21"/>
  <c r="AC52" i="21"/>
  <c r="G56" i="21"/>
  <c r="AM57" i="21"/>
  <c r="AC60" i="21"/>
  <c r="G14" i="21"/>
  <c r="G54" i="21"/>
  <c r="G17" i="21"/>
  <c r="G57" i="21"/>
  <c r="L62" i="21"/>
  <c r="R14" i="21"/>
  <c r="AC16" i="21"/>
  <c r="L17" i="21"/>
  <c r="G20" i="21"/>
  <c r="R22" i="21"/>
  <c r="AC24" i="21"/>
  <c r="L25" i="21"/>
  <c r="X27" i="21"/>
  <c r="G28" i="21"/>
  <c r="R30" i="21"/>
  <c r="AC32" i="21"/>
  <c r="L33" i="21"/>
  <c r="X35" i="21"/>
  <c r="G36" i="21"/>
  <c r="R38" i="21"/>
  <c r="AC40" i="21"/>
  <c r="L41" i="21"/>
  <c r="X43" i="21"/>
  <c r="G44" i="21"/>
  <c r="R46" i="21"/>
  <c r="AC48" i="21"/>
  <c r="L49" i="21"/>
  <c r="X51" i="21"/>
  <c r="G52" i="21"/>
  <c r="R54" i="21"/>
  <c r="AC56" i="21"/>
  <c r="L57" i="21"/>
  <c r="X59" i="21"/>
  <c r="G60" i="21"/>
  <c r="R62" i="21"/>
  <c r="G49" i="21"/>
  <c r="X14" i="21"/>
  <c r="R17" i="21"/>
  <c r="L20" i="21"/>
  <c r="X22" i="21"/>
  <c r="R25" i="21"/>
  <c r="L28" i="21"/>
  <c r="X30" i="21"/>
  <c r="R33" i="21"/>
  <c r="AC35" i="21"/>
  <c r="L36" i="21"/>
  <c r="X38" i="21"/>
  <c r="R41" i="21"/>
  <c r="AC43" i="21"/>
  <c r="L44" i="21"/>
  <c r="X46" i="21"/>
  <c r="R49" i="21"/>
  <c r="AC51" i="21"/>
  <c r="L52" i="21"/>
  <c r="X54" i="21"/>
  <c r="R57" i="21"/>
  <c r="AC59" i="21"/>
  <c r="L60" i="21"/>
  <c r="X62" i="21"/>
  <c r="G22" i="21"/>
  <c r="G62" i="21"/>
  <c r="L14" i="21"/>
  <c r="L30" i="21"/>
  <c r="L38" i="21"/>
  <c r="G41" i="21"/>
  <c r="X25" i="21"/>
  <c r="X33" i="21"/>
  <c r="R36" i="21"/>
  <c r="AC38" i="21"/>
  <c r="X41" i="21"/>
  <c r="R44" i="21"/>
  <c r="AC46" i="21"/>
  <c r="X49" i="21"/>
  <c r="R52" i="21"/>
  <c r="AC54" i="21"/>
  <c r="X57" i="21"/>
  <c r="R60" i="21"/>
  <c r="AC62" i="21"/>
  <c r="G38" i="21"/>
  <c r="G46" i="21"/>
  <c r="M10" i="17"/>
  <c r="M9" i="17"/>
  <c r="M8" i="17"/>
  <c r="M7" i="17"/>
  <c r="M6" i="17"/>
  <c r="G10" i="17"/>
  <c r="E8" i="17"/>
  <c r="E7" i="17"/>
  <c r="E6" i="17"/>
  <c r="A63" i="17"/>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7" i="17"/>
  <c r="A26" i="17"/>
  <c r="A25" i="17"/>
  <c r="A24" i="17"/>
  <c r="A23" i="17"/>
  <c r="A22" i="17"/>
  <c r="A21" i="17"/>
  <c r="A20" i="17"/>
  <c r="A19" i="17"/>
  <c r="A18" i="17"/>
  <c r="A17" i="17"/>
  <c r="A16" i="17"/>
  <c r="A15" i="17"/>
  <c r="A14" i="17"/>
  <c r="A4" i="17"/>
  <c r="A3" i="17"/>
  <c r="A2" i="17"/>
  <c r="E10" i="17"/>
  <c r="G10" i="15" l="1"/>
  <c r="E10" i="15"/>
  <c r="A62" i="20" l="1"/>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4" i="20" l="1"/>
  <c r="A3" i="20"/>
  <c r="A2" i="20"/>
  <c r="I10" i="20" l="1"/>
  <c r="E10" i="20"/>
  <c r="D10" i="20"/>
  <c r="I9" i="20"/>
  <c r="I8" i="20"/>
  <c r="D8" i="20"/>
  <c r="I7" i="20"/>
  <c r="D7" i="20"/>
  <c r="I6" i="20"/>
  <c r="D6" i="20"/>
  <c r="E62" i="18" l="1"/>
  <c r="D62" i="18"/>
  <c r="C62" i="18"/>
  <c r="B62" i="18"/>
  <c r="A62" i="18"/>
  <c r="E61" i="18"/>
  <c r="D61" i="18"/>
  <c r="C61" i="18"/>
  <c r="B61" i="18"/>
  <c r="A61" i="18"/>
  <c r="E60" i="18"/>
  <c r="D60" i="18"/>
  <c r="C60" i="18"/>
  <c r="B60" i="18"/>
  <c r="A60" i="18"/>
  <c r="E59" i="18"/>
  <c r="F59" i="18" s="1"/>
  <c r="D59" i="18"/>
  <c r="C59" i="18"/>
  <c r="B59" i="18"/>
  <c r="A59" i="18"/>
  <c r="E58" i="18"/>
  <c r="D58" i="18"/>
  <c r="C58" i="18"/>
  <c r="B58" i="18"/>
  <c r="A58" i="18"/>
  <c r="E57" i="18"/>
  <c r="F57" i="18" s="1"/>
  <c r="D57" i="18"/>
  <c r="C57" i="18"/>
  <c r="B57" i="18"/>
  <c r="A57" i="18"/>
  <c r="E56" i="18"/>
  <c r="F56" i="18" s="1"/>
  <c r="D56" i="18"/>
  <c r="C56" i="18"/>
  <c r="B56" i="18"/>
  <c r="A56" i="18"/>
  <c r="E55" i="18"/>
  <c r="F55" i="18" s="1"/>
  <c r="D55" i="18"/>
  <c r="C55" i="18"/>
  <c r="B55" i="18"/>
  <c r="A55" i="18"/>
  <c r="E54" i="18"/>
  <c r="D54" i="18"/>
  <c r="C54" i="18"/>
  <c r="B54" i="18"/>
  <c r="A54" i="18"/>
  <c r="E53" i="18"/>
  <c r="D53" i="18"/>
  <c r="C53" i="18"/>
  <c r="B53" i="18"/>
  <c r="A53" i="18"/>
  <c r="E52" i="18"/>
  <c r="D52" i="18"/>
  <c r="C52" i="18"/>
  <c r="B52" i="18"/>
  <c r="A52" i="18"/>
  <c r="E51" i="18"/>
  <c r="F51" i="18" s="1"/>
  <c r="D51" i="18"/>
  <c r="C51" i="18"/>
  <c r="B51" i="18"/>
  <c r="A51" i="18"/>
  <c r="E50" i="18"/>
  <c r="F50" i="18" s="1"/>
  <c r="D50" i="18"/>
  <c r="C50" i="18"/>
  <c r="B50" i="18"/>
  <c r="A50" i="18"/>
  <c r="E49" i="18"/>
  <c r="F49" i="18" s="1"/>
  <c r="D49" i="18"/>
  <c r="C49" i="18"/>
  <c r="B49" i="18"/>
  <c r="A49" i="18"/>
  <c r="E48" i="18"/>
  <c r="F48" i="18" s="1"/>
  <c r="D48" i="18"/>
  <c r="C48" i="18"/>
  <c r="B48" i="18"/>
  <c r="A48" i="18"/>
  <c r="E47" i="18"/>
  <c r="F47" i="18" s="1"/>
  <c r="D47" i="18"/>
  <c r="C47" i="18"/>
  <c r="B47" i="18"/>
  <c r="A47" i="18"/>
  <c r="E46" i="18"/>
  <c r="D46" i="18"/>
  <c r="C46" i="18"/>
  <c r="B46" i="18"/>
  <c r="A46" i="18"/>
  <c r="E45" i="18"/>
  <c r="D45" i="18"/>
  <c r="C45" i="18"/>
  <c r="B45" i="18"/>
  <c r="A45" i="18"/>
  <c r="E44" i="18"/>
  <c r="D44" i="18"/>
  <c r="C44" i="18"/>
  <c r="B44" i="18"/>
  <c r="A44" i="18"/>
  <c r="E43" i="18"/>
  <c r="F43" i="18" s="1"/>
  <c r="D43" i="18"/>
  <c r="C43" i="18"/>
  <c r="B43" i="18"/>
  <c r="A43" i="18"/>
  <c r="E42" i="18"/>
  <c r="D42" i="18"/>
  <c r="C42" i="18"/>
  <c r="B42" i="18"/>
  <c r="A42" i="18"/>
  <c r="E41" i="18"/>
  <c r="F41" i="18" s="1"/>
  <c r="D41" i="18"/>
  <c r="C41" i="18"/>
  <c r="B41" i="18"/>
  <c r="A41" i="18"/>
  <c r="E40" i="18"/>
  <c r="F40" i="18" s="1"/>
  <c r="D40" i="18"/>
  <c r="C40" i="18"/>
  <c r="B40" i="18"/>
  <c r="A40" i="18"/>
  <c r="E39" i="18"/>
  <c r="F39" i="18" s="1"/>
  <c r="D39" i="18"/>
  <c r="C39" i="18"/>
  <c r="B39" i="18"/>
  <c r="A39" i="18"/>
  <c r="E38" i="18"/>
  <c r="D38" i="18"/>
  <c r="C38" i="18"/>
  <c r="B38" i="18"/>
  <c r="A38" i="18"/>
  <c r="E37" i="18"/>
  <c r="F37" i="18" s="1"/>
  <c r="D37" i="18"/>
  <c r="C37" i="18"/>
  <c r="B37" i="18"/>
  <c r="A37" i="18"/>
  <c r="E36" i="18"/>
  <c r="D36" i="18"/>
  <c r="C36" i="18"/>
  <c r="B36" i="18"/>
  <c r="A36" i="18"/>
  <c r="E35" i="18"/>
  <c r="F35" i="18" s="1"/>
  <c r="D35" i="18"/>
  <c r="C35" i="18"/>
  <c r="B35" i="18"/>
  <c r="A35" i="18"/>
  <c r="E34" i="18"/>
  <c r="D34" i="18"/>
  <c r="C34" i="18"/>
  <c r="B34" i="18"/>
  <c r="A34" i="18"/>
  <c r="E33" i="18"/>
  <c r="F33" i="18" s="1"/>
  <c r="D33" i="18"/>
  <c r="C33" i="18"/>
  <c r="B33" i="18"/>
  <c r="A33" i="18"/>
  <c r="E32" i="18"/>
  <c r="F32" i="18" s="1"/>
  <c r="D32" i="18"/>
  <c r="C32" i="18"/>
  <c r="B32" i="18"/>
  <c r="A32" i="18"/>
  <c r="E31" i="18"/>
  <c r="F31" i="18" s="1"/>
  <c r="D31" i="18"/>
  <c r="C31" i="18"/>
  <c r="B31" i="18"/>
  <c r="A31" i="18"/>
  <c r="E30" i="18"/>
  <c r="D30" i="18"/>
  <c r="C30" i="18"/>
  <c r="B30" i="18"/>
  <c r="A30" i="18"/>
  <c r="E29" i="18"/>
  <c r="F29" i="18" s="1"/>
  <c r="D29" i="18"/>
  <c r="C29" i="18"/>
  <c r="B29" i="18"/>
  <c r="A29" i="18"/>
  <c r="E28" i="18"/>
  <c r="D28" i="18"/>
  <c r="C28" i="18"/>
  <c r="B28" i="18"/>
  <c r="A28" i="18"/>
  <c r="E27" i="18"/>
  <c r="F27" i="18" s="1"/>
  <c r="D27" i="18"/>
  <c r="C27" i="18"/>
  <c r="B27" i="18"/>
  <c r="A27" i="18"/>
  <c r="E26" i="18"/>
  <c r="F26" i="18" s="1"/>
  <c r="D26" i="18"/>
  <c r="C26" i="18"/>
  <c r="B26" i="18"/>
  <c r="A26" i="18"/>
  <c r="E25" i="18"/>
  <c r="F25" i="18" s="1"/>
  <c r="D25" i="18"/>
  <c r="C25" i="18"/>
  <c r="B25" i="18"/>
  <c r="A25" i="18"/>
  <c r="E24" i="18"/>
  <c r="F24" i="18" s="1"/>
  <c r="D24" i="18"/>
  <c r="C24" i="18"/>
  <c r="B24" i="18"/>
  <c r="A24" i="18"/>
  <c r="E23" i="18"/>
  <c r="F23" i="18" s="1"/>
  <c r="D23" i="18"/>
  <c r="C23" i="18"/>
  <c r="B23" i="18"/>
  <c r="A23" i="18"/>
  <c r="E22" i="18"/>
  <c r="D22" i="18"/>
  <c r="C22" i="18"/>
  <c r="B22" i="18"/>
  <c r="A22" i="18"/>
  <c r="E21" i="18"/>
  <c r="D21" i="18"/>
  <c r="C21" i="18"/>
  <c r="B21" i="18"/>
  <c r="A21" i="18"/>
  <c r="E20" i="18"/>
  <c r="D20" i="18"/>
  <c r="C20" i="18"/>
  <c r="B20" i="18"/>
  <c r="A20" i="18"/>
  <c r="E19" i="18"/>
  <c r="F19" i="18" s="1"/>
  <c r="D19" i="18"/>
  <c r="C19" i="18"/>
  <c r="B19" i="18"/>
  <c r="A19" i="18"/>
  <c r="E18" i="18"/>
  <c r="F18" i="18" s="1"/>
  <c r="D18" i="18"/>
  <c r="C18" i="18"/>
  <c r="B18" i="18"/>
  <c r="A18" i="18"/>
  <c r="E17" i="18"/>
  <c r="F17" i="18" s="1"/>
  <c r="D17" i="18"/>
  <c r="C17" i="18"/>
  <c r="B17" i="18"/>
  <c r="A17" i="18"/>
  <c r="E16" i="18"/>
  <c r="F16" i="18" s="1"/>
  <c r="D16" i="18"/>
  <c r="C16" i="18"/>
  <c r="B16" i="18"/>
  <c r="A16" i="18"/>
  <c r="E15" i="18"/>
  <c r="F15" i="18" s="1"/>
  <c r="D15" i="18"/>
  <c r="C15" i="18"/>
  <c r="B15" i="18"/>
  <c r="A15" i="18"/>
  <c r="E14" i="18"/>
  <c r="D14" i="18"/>
  <c r="C14" i="18"/>
  <c r="B14" i="18"/>
  <c r="A14" i="18"/>
  <c r="E13" i="18"/>
  <c r="D13" i="18"/>
  <c r="C13" i="18"/>
  <c r="B13" i="18"/>
  <c r="A13" i="18"/>
  <c r="L10" i="18"/>
  <c r="G10" i="18"/>
  <c r="E10" i="18"/>
  <c r="L9" i="18"/>
  <c r="L8" i="18"/>
  <c r="E8" i="18"/>
  <c r="L7" i="18"/>
  <c r="E7" i="18"/>
  <c r="L6" i="18"/>
  <c r="E6" i="18"/>
  <c r="A4" i="18"/>
  <c r="A3" i="18"/>
  <c r="A2" i="18"/>
  <c r="K34" i="18" l="1"/>
  <c r="Z34" i="18"/>
  <c r="P34" i="18"/>
  <c r="U34" i="18"/>
  <c r="K42" i="18"/>
  <c r="Z42" i="18"/>
  <c r="U42" i="18"/>
  <c r="P42" i="18"/>
  <c r="K58" i="18"/>
  <c r="P58" i="18"/>
  <c r="Z58" i="18"/>
  <c r="U58" i="18"/>
  <c r="U15" i="18"/>
  <c r="P15" i="18"/>
  <c r="K15" i="18"/>
  <c r="Z15" i="18"/>
  <c r="U23" i="18"/>
  <c r="P23" i="18"/>
  <c r="K23" i="18"/>
  <c r="Z23" i="18"/>
  <c r="U31" i="18"/>
  <c r="P31" i="18"/>
  <c r="K31" i="18"/>
  <c r="Z31" i="18"/>
  <c r="U39" i="18"/>
  <c r="K39" i="18"/>
  <c r="P39" i="18"/>
  <c r="Z39" i="18"/>
  <c r="U47" i="18"/>
  <c r="P47" i="18"/>
  <c r="K47" i="18"/>
  <c r="Z47" i="18"/>
  <c r="U55" i="18"/>
  <c r="P55" i="18"/>
  <c r="K55" i="18"/>
  <c r="Z55" i="18"/>
  <c r="Z53" i="18"/>
  <c r="U53" i="18"/>
  <c r="P53" i="18"/>
  <c r="K53" i="18"/>
  <c r="Z20" i="18"/>
  <c r="U20" i="18"/>
  <c r="K20" i="18"/>
  <c r="P20" i="18"/>
  <c r="K28" i="18"/>
  <c r="Z28" i="18"/>
  <c r="U28" i="18"/>
  <c r="P28" i="18"/>
  <c r="Z36" i="18"/>
  <c r="K36" i="18"/>
  <c r="U36" i="18"/>
  <c r="P36" i="18"/>
  <c r="Z44" i="18"/>
  <c r="U44" i="18"/>
  <c r="P44" i="18"/>
  <c r="K44" i="18"/>
  <c r="Z52" i="18"/>
  <c r="U52" i="18"/>
  <c r="K52" i="18"/>
  <c r="P52" i="18"/>
  <c r="Z60" i="18"/>
  <c r="U60" i="18"/>
  <c r="P60" i="18"/>
  <c r="K60" i="18"/>
  <c r="F34" i="18"/>
  <c r="F42" i="18"/>
  <c r="F58" i="18"/>
  <c r="Z45" i="18"/>
  <c r="U45" i="18"/>
  <c r="P45" i="18"/>
  <c r="K45" i="18"/>
  <c r="Z61" i="18"/>
  <c r="U61" i="18"/>
  <c r="P61" i="18"/>
  <c r="K61" i="18"/>
  <c r="P17" i="18"/>
  <c r="K17" i="18"/>
  <c r="Z17" i="18"/>
  <c r="U17" i="18"/>
  <c r="P25" i="18"/>
  <c r="K25" i="18"/>
  <c r="Z25" i="18"/>
  <c r="U25" i="18"/>
  <c r="P33" i="18"/>
  <c r="K33" i="18"/>
  <c r="Z33" i="18"/>
  <c r="U33" i="18"/>
  <c r="P41" i="18"/>
  <c r="K41" i="18"/>
  <c r="Z41" i="18"/>
  <c r="U41" i="18"/>
  <c r="P49" i="18"/>
  <c r="K49" i="18"/>
  <c r="Z49" i="18"/>
  <c r="U49" i="18"/>
  <c r="P57" i="18"/>
  <c r="K57" i="18"/>
  <c r="Z57" i="18"/>
  <c r="U57" i="18"/>
  <c r="Z46" i="18"/>
  <c r="U46" i="18"/>
  <c r="P46" i="18"/>
  <c r="K46" i="18"/>
  <c r="Z54" i="18"/>
  <c r="U54" i="18"/>
  <c r="P54" i="18"/>
  <c r="K54" i="18"/>
  <c r="Z62" i="18"/>
  <c r="U62" i="18"/>
  <c r="P62" i="18"/>
  <c r="K62" i="18"/>
  <c r="F20" i="18"/>
  <c r="F28" i="18"/>
  <c r="F36" i="18"/>
  <c r="F44" i="18"/>
  <c r="F52" i="18"/>
  <c r="F60" i="18"/>
  <c r="Z13" i="18"/>
  <c r="U13" i="18"/>
  <c r="P13" i="18"/>
  <c r="K13" i="18"/>
  <c r="Z21" i="18"/>
  <c r="U21" i="18"/>
  <c r="P21" i="18"/>
  <c r="K21" i="18"/>
  <c r="P50" i="18"/>
  <c r="K50" i="18"/>
  <c r="Z50" i="18"/>
  <c r="U50" i="18"/>
  <c r="Z30" i="18"/>
  <c r="U30" i="18"/>
  <c r="P30" i="18"/>
  <c r="K30" i="18"/>
  <c r="K19" i="18"/>
  <c r="Z19" i="18"/>
  <c r="U19" i="18"/>
  <c r="P19" i="18"/>
  <c r="K27" i="18"/>
  <c r="Z27" i="18"/>
  <c r="U27" i="18"/>
  <c r="P27" i="18"/>
  <c r="K35" i="18"/>
  <c r="Z35" i="18"/>
  <c r="U35" i="18"/>
  <c r="P35" i="18"/>
  <c r="K43" i="18"/>
  <c r="Z43" i="18"/>
  <c r="U43" i="18"/>
  <c r="P43" i="18"/>
  <c r="K51" i="18"/>
  <c r="Z51" i="18"/>
  <c r="U51" i="18"/>
  <c r="P51" i="18"/>
  <c r="K59" i="18"/>
  <c r="Z59" i="18"/>
  <c r="U59" i="18"/>
  <c r="P59" i="18"/>
  <c r="F13" i="18"/>
  <c r="F21" i="18"/>
  <c r="F45" i="18"/>
  <c r="F53" i="18"/>
  <c r="F61" i="18"/>
  <c r="Z29" i="18"/>
  <c r="U29" i="18"/>
  <c r="P29" i="18"/>
  <c r="K29" i="18"/>
  <c r="Z37" i="18"/>
  <c r="U37" i="18"/>
  <c r="P37" i="18"/>
  <c r="K37" i="18"/>
  <c r="P18" i="18"/>
  <c r="K18" i="18"/>
  <c r="Z18" i="18"/>
  <c r="U18" i="18"/>
  <c r="K26" i="18"/>
  <c r="P26" i="18"/>
  <c r="Z26" i="18"/>
  <c r="U26" i="18"/>
  <c r="Z14" i="18"/>
  <c r="U14" i="18"/>
  <c r="P14" i="18"/>
  <c r="K14" i="18"/>
  <c r="U22" i="18"/>
  <c r="P22" i="18"/>
  <c r="K22" i="18"/>
  <c r="Z22" i="18"/>
  <c r="Z38" i="18"/>
  <c r="U38" i="18"/>
  <c r="P38" i="18"/>
  <c r="K38" i="18"/>
  <c r="P16" i="18"/>
  <c r="K16" i="18"/>
  <c r="Z16" i="18"/>
  <c r="U16" i="18"/>
  <c r="P24" i="18"/>
  <c r="K24" i="18"/>
  <c r="U24" i="18"/>
  <c r="Z24" i="18"/>
  <c r="P32" i="18"/>
  <c r="U32" i="18"/>
  <c r="K32" i="18"/>
  <c r="Z32" i="18"/>
  <c r="P40" i="18"/>
  <c r="K40" i="18"/>
  <c r="Z40" i="18"/>
  <c r="U40" i="18"/>
  <c r="U48" i="18"/>
  <c r="P48" i="18"/>
  <c r="K48" i="18"/>
  <c r="Z48" i="18"/>
  <c r="P56" i="18"/>
  <c r="K56" i="18"/>
  <c r="Z56" i="18"/>
  <c r="U56" i="18"/>
  <c r="F14" i="18"/>
  <c r="F22" i="18"/>
  <c r="F30" i="18"/>
  <c r="F38" i="18"/>
  <c r="F46" i="18"/>
  <c r="F54" i="18"/>
  <c r="F62" i="18"/>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W13" i="15" l="1"/>
  <c r="V13" i="15"/>
  <c r="U1" i="15"/>
  <c r="U13" i="15"/>
  <c r="T13" i="15"/>
  <c r="T1" i="15"/>
  <c r="S13" i="15"/>
  <c r="S1" i="15"/>
  <c r="R13" i="15"/>
  <c r="R1" i="15"/>
  <c r="Q13" i="15"/>
  <c r="Q1" i="15"/>
  <c r="P13" i="15"/>
  <c r="P1" i="15"/>
  <c r="O13" i="15"/>
  <c r="O1" i="15"/>
  <c r="N1" i="15"/>
  <c r="N13" i="15"/>
  <c r="J6" i="15"/>
  <c r="A63" i="15"/>
  <c r="A62" i="15"/>
  <c r="A61" i="15"/>
  <c r="A60" i="15"/>
  <c r="A59" i="15"/>
  <c r="A58" i="15"/>
  <c r="A57" i="15"/>
  <c r="A56" i="15"/>
  <c r="A55" i="15"/>
  <c r="A54" i="15"/>
  <c r="A53" i="15"/>
  <c r="A52" i="15"/>
  <c r="A51" i="15"/>
  <c r="A50" i="15"/>
  <c r="A49" i="15"/>
  <c r="A48" i="15"/>
  <c r="A47" i="15"/>
  <c r="A46" i="15"/>
  <c r="A45" i="15"/>
  <c r="A44" i="15"/>
  <c r="A43" i="15"/>
  <c r="A42" i="15"/>
  <c r="A41" i="15"/>
  <c r="A40" i="15"/>
  <c r="A39" i="15"/>
  <c r="A38" i="15"/>
  <c r="A37" i="15"/>
  <c r="A36" i="15"/>
  <c r="A35" i="15"/>
  <c r="A34" i="15"/>
  <c r="A33" i="15"/>
  <c r="A32" i="15"/>
  <c r="A31" i="15"/>
  <c r="A30" i="15"/>
  <c r="A29" i="15"/>
  <c r="A28" i="15"/>
  <c r="A27" i="15"/>
  <c r="A26" i="15"/>
  <c r="A25" i="15"/>
  <c r="A24" i="15"/>
  <c r="A23" i="15"/>
  <c r="A22" i="15"/>
  <c r="A21" i="15"/>
  <c r="A20" i="15"/>
  <c r="A19" i="15"/>
  <c r="A18" i="15"/>
  <c r="A17" i="15"/>
  <c r="A16" i="15"/>
  <c r="A15" i="15"/>
  <c r="A14" i="15"/>
  <c r="J10" i="15"/>
  <c r="J9" i="15"/>
  <c r="J8" i="15"/>
  <c r="E8" i="15"/>
  <c r="J7" i="15"/>
  <c r="E7" i="15"/>
  <c r="E6" i="15"/>
  <c r="A4" i="15"/>
  <c r="A3" i="15"/>
  <c r="A2" i="15"/>
  <c r="G10" i="10"/>
  <c r="E10" i="10"/>
  <c r="AI34" i="13" l="1"/>
  <c r="AI33" i="13"/>
  <c r="AI32" i="13"/>
  <c r="AI31" i="13"/>
  <c r="AI30" i="13"/>
  <c r="AI29" i="13"/>
  <c r="AI28" i="13"/>
  <c r="AI27" i="13"/>
  <c r="AI25" i="13"/>
  <c r="AG16" i="13"/>
  <c r="AE16" i="13"/>
  <c r="AC16" i="13"/>
  <c r="AA16" i="13"/>
  <c r="Y16" i="13"/>
  <c r="AG17" i="13"/>
  <c r="AE17" i="13"/>
  <c r="AC17" i="13"/>
  <c r="AA17" i="13"/>
  <c r="Y17" i="13"/>
  <c r="W17" i="13"/>
  <c r="W16" i="13"/>
  <c r="U17" i="13"/>
  <c r="S17" i="13"/>
  <c r="Q17" i="13"/>
  <c r="O17" i="13"/>
  <c r="M17" i="13"/>
  <c r="K17" i="13"/>
  <c r="I17" i="13"/>
  <c r="G17" i="13"/>
  <c r="U16" i="13"/>
  <c r="S16" i="13"/>
  <c r="Q16" i="13"/>
  <c r="O16" i="13"/>
  <c r="M16" i="13"/>
  <c r="K16" i="13"/>
  <c r="I16" i="13"/>
  <c r="G16" i="13"/>
  <c r="G15" i="13"/>
  <c r="AG15" i="13"/>
  <c r="AE15" i="13"/>
  <c r="AC15" i="13"/>
  <c r="AA15" i="13"/>
  <c r="Y15" i="13"/>
  <c r="W15" i="13"/>
  <c r="U15" i="13"/>
  <c r="S15" i="13"/>
  <c r="Q15" i="13"/>
  <c r="O15" i="13"/>
  <c r="M15" i="13"/>
  <c r="K15" i="13"/>
  <c r="I15" i="13"/>
  <c r="J5" i="13"/>
  <c r="E6" i="10" l="1"/>
  <c r="AI45" i="13"/>
  <c r="AF45" i="13"/>
  <c r="AC45" i="13"/>
  <c r="AI50" i="13"/>
  <c r="AI49" i="13"/>
  <c r="AI48" i="13"/>
  <c r="AI47" i="13"/>
  <c r="AI46" i="13"/>
  <c r="AI44" i="13"/>
  <c r="AI43" i="13"/>
  <c r="AI42" i="13"/>
  <c r="AI41" i="13"/>
  <c r="AJ34" i="13"/>
  <c r="AF50" i="13"/>
  <c r="AF49" i="13"/>
  <c r="AF48" i="13"/>
  <c r="AF47" i="13"/>
  <c r="AF46" i="13"/>
  <c r="AF44" i="13"/>
  <c r="AF43" i="13"/>
  <c r="AF42" i="13"/>
  <c r="AF41" i="13"/>
  <c r="AF34" i="13"/>
  <c r="AC50" i="13"/>
  <c r="AC49" i="13"/>
  <c r="AC48" i="13"/>
  <c r="AC47" i="13"/>
  <c r="AC46" i="13"/>
  <c r="AC44" i="13"/>
  <c r="AC43" i="13"/>
  <c r="AC42" i="13"/>
  <c r="AC41" i="13"/>
  <c r="V50" i="13" l="1"/>
  <c r="V49" i="13"/>
  <c r="V48" i="13"/>
  <c r="V47" i="13"/>
  <c r="V46" i="13"/>
  <c r="V45" i="13"/>
  <c r="V44" i="13"/>
  <c r="V43" i="13"/>
  <c r="V42" i="13"/>
  <c r="V41" i="13"/>
  <c r="S50" i="13"/>
  <c r="S49" i="13"/>
  <c r="S48" i="13"/>
  <c r="S47" i="13"/>
  <c r="S46" i="13"/>
  <c r="S45" i="13"/>
  <c r="S44" i="13"/>
  <c r="S43" i="13"/>
  <c r="S42" i="13"/>
  <c r="S41" i="13"/>
  <c r="P50" i="13"/>
  <c r="P49" i="13"/>
  <c r="P48" i="13"/>
  <c r="P47" i="13"/>
  <c r="P46" i="13"/>
  <c r="P45" i="13"/>
  <c r="P44" i="13"/>
  <c r="P43" i="13"/>
  <c r="P42" i="13"/>
  <c r="P41" i="13"/>
  <c r="M50" i="13"/>
  <c r="M49" i="13"/>
  <c r="M48" i="13"/>
  <c r="M47" i="13"/>
  <c r="M46" i="13"/>
  <c r="M45" i="13"/>
  <c r="M44" i="13"/>
  <c r="M43" i="13"/>
  <c r="M42" i="13"/>
  <c r="M41" i="13"/>
  <c r="J50" i="13"/>
  <c r="J49" i="13"/>
  <c r="J48" i="13"/>
  <c r="J47" i="13"/>
  <c r="J46" i="13"/>
  <c r="J45" i="13"/>
  <c r="J44" i="13"/>
  <c r="J43" i="13"/>
  <c r="J42" i="13"/>
  <c r="J41" i="13"/>
  <c r="G50" i="13"/>
  <c r="G49" i="13"/>
  <c r="G48" i="13"/>
  <c r="G47" i="13"/>
  <c r="G46" i="13"/>
  <c r="G45" i="13"/>
  <c r="G44" i="13"/>
  <c r="G43" i="13"/>
  <c r="G42" i="13"/>
  <c r="G41" i="13"/>
  <c r="D50" i="13"/>
  <c r="D49" i="13"/>
  <c r="D48" i="13"/>
  <c r="D47" i="13"/>
  <c r="D46" i="13"/>
  <c r="D45" i="13"/>
  <c r="D44" i="13"/>
  <c r="D43" i="13"/>
  <c r="D42" i="13"/>
  <c r="D41" i="13"/>
  <c r="AJ31" i="13"/>
  <c r="AF31" i="13"/>
  <c r="AD31" i="13"/>
  <c r="AC31" i="13"/>
  <c r="AG31" i="13"/>
  <c r="AJ33" i="13"/>
  <c r="AJ32" i="13"/>
  <c r="AJ30" i="13"/>
  <c r="AJ29" i="13"/>
  <c r="AJ28" i="13"/>
  <c r="AJ27" i="13"/>
  <c r="AJ26" i="13"/>
  <c r="AJ25" i="13"/>
  <c r="AI26" i="13"/>
  <c r="AH34" i="13"/>
  <c r="AH33" i="13"/>
  <c r="AH32" i="13"/>
  <c r="AH31" i="13"/>
  <c r="AH30" i="13"/>
  <c r="AH29" i="13"/>
  <c r="AH28" i="13"/>
  <c r="AH27" i="13"/>
  <c r="AH26" i="13"/>
  <c r="AH25" i="13"/>
  <c r="AG34" i="13"/>
  <c r="AG33" i="13"/>
  <c r="AG32" i="13"/>
  <c r="AG30" i="13"/>
  <c r="AG29" i="13"/>
  <c r="AG28" i="13"/>
  <c r="AG27" i="13"/>
  <c r="AG26" i="13"/>
  <c r="AG25" i="13"/>
  <c r="AF33" i="13"/>
  <c r="AF32" i="13"/>
  <c r="AF30" i="13"/>
  <c r="AF29" i="13"/>
  <c r="AF28" i="13"/>
  <c r="AF27" i="13"/>
  <c r="AF26" i="13"/>
  <c r="AF25" i="13"/>
  <c r="AE34" i="13"/>
  <c r="AE33" i="13"/>
  <c r="AE32" i="13"/>
  <c r="AE31" i="13"/>
  <c r="AE30" i="13"/>
  <c r="AE29" i="13"/>
  <c r="AE28" i="13"/>
  <c r="AE27" i="13"/>
  <c r="AE26" i="13"/>
  <c r="AE25" i="13"/>
  <c r="W25" i="13"/>
  <c r="V34" i="13"/>
  <c r="V33" i="13"/>
  <c r="V32" i="13"/>
  <c r="V31" i="13"/>
  <c r="V30" i="13"/>
  <c r="V29" i="13"/>
  <c r="V28" i="13"/>
  <c r="V27" i="13"/>
  <c r="V26" i="13"/>
  <c r="V25" i="13"/>
  <c r="U34" i="13"/>
  <c r="U33" i="13"/>
  <c r="U32" i="13"/>
  <c r="U31" i="13"/>
  <c r="U30" i="13"/>
  <c r="U29" i="13"/>
  <c r="U28" i="13"/>
  <c r="U27" i="13"/>
  <c r="U26" i="13"/>
  <c r="U25" i="13"/>
  <c r="T34" i="13"/>
  <c r="T33" i="13"/>
  <c r="T32" i="13"/>
  <c r="T31" i="13"/>
  <c r="T30" i="13"/>
  <c r="T29" i="13"/>
  <c r="T28" i="13"/>
  <c r="T27" i="13"/>
  <c r="T26" i="13"/>
  <c r="T25" i="13"/>
  <c r="S34" i="13"/>
  <c r="S33" i="13"/>
  <c r="S32" i="13"/>
  <c r="S31" i="13"/>
  <c r="S30" i="13"/>
  <c r="S29" i="13"/>
  <c r="S28" i="13"/>
  <c r="S27" i="13"/>
  <c r="S26" i="13"/>
  <c r="S25" i="13"/>
  <c r="R34" i="13"/>
  <c r="R33" i="13"/>
  <c r="R32" i="13"/>
  <c r="R31" i="13"/>
  <c r="R30" i="13"/>
  <c r="R29" i="13"/>
  <c r="R28" i="13"/>
  <c r="R27" i="13"/>
  <c r="R26" i="13"/>
  <c r="R25" i="13"/>
  <c r="Q34" i="13"/>
  <c r="Q33" i="13"/>
  <c r="Q32" i="13"/>
  <c r="Q31" i="13"/>
  <c r="Q30" i="13"/>
  <c r="Q29" i="13"/>
  <c r="Q28" i="13"/>
  <c r="Q27" i="13"/>
  <c r="Q26" i="13"/>
  <c r="Q25" i="13"/>
  <c r="P34" i="13"/>
  <c r="P33" i="13"/>
  <c r="P32" i="13"/>
  <c r="P31" i="13"/>
  <c r="P30" i="13"/>
  <c r="P29" i="13"/>
  <c r="P28" i="13"/>
  <c r="P27" i="13"/>
  <c r="P26" i="13"/>
  <c r="P25" i="13"/>
  <c r="O34" i="13"/>
  <c r="O33" i="13"/>
  <c r="O32" i="13"/>
  <c r="O31" i="13"/>
  <c r="O30" i="13"/>
  <c r="O29" i="13"/>
  <c r="O28" i="13"/>
  <c r="O27" i="13"/>
  <c r="O26" i="13"/>
  <c r="O25" i="13"/>
  <c r="N34" i="13"/>
  <c r="N33" i="13"/>
  <c r="N32" i="13"/>
  <c r="N31" i="13"/>
  <c r="N30" i="13"/>
  <c r="N29" i="13"/>
  <c r="N28" i="13"/>
  <c r="N27" i="13"/>
  <c r="N26" i="13"/>
  <c r="N25" i="13"/>
  <c r="M34" i="13"/>
  <c r="M33" i="13"/>
  <c r="M32" i="13"/>
  <c r="M31" i="13"/>
  <c r="M30" i="13"/>
  <c r="M29" i="13"/>
  <c r="M28" i="13"/>
  <c r="M27" i="13"/>
  <c r="M26" i="13"/>
  <c r="L34" i="13"/>
  <c r="L33" i="13"/>
  <c r="L32" i="13"/>
  <c r="L31" i="13"/>
  <c r="L30" i="13"/>
  <c r="L29" i="13"/>
  <c r="L28" i="13"/>
  <c r="L27" i="13"/>
  <c r="L26" i="13"/>
  <c r="K32" i="13"/>
  <c r="K31" i="13"/>
  <c r="K30" i="13"/>
  <c r="K29" i="13"/>
  <c r="K28" i="13"/>
  <c r="K27" i="13"/>
  <c r="K26" i="13"/>
  <c r="K25" i="13"/>
  <c r="J34" i="13"/>
  <c r="J33" i="13"/>
  <c r="J32" i="13"/>
  <c r="J31" i="13"/>
  <c r="J30" i="13"/>
  <c r="J29" i="13"/>
  <c r="J28" i="13"/>
  <c r="J27" i="13"/>
  <c r="J26" i="13"/>
  <c r="J25" i="13"/>
  <c r="I34" i="13"/>
  <c r="I33" i="13"/>
  <c r="I32" i="13"/>
  <c r="I31" i="13"/>
  <c r="I30" i="13"/>
  <c r="I29" i="13"/>
  <c r="I28" i="13"/>
  <c r="I27" i="13"/>
  <c r="I26" i="13"/>
  <c r="I25" i="13"/>
  <c r="W34" i="13"/>
  <c r="W33" i="13"/>
  <c r="W32" i="13"/>
  <c r="W31" i="13"/>
  <c r="W30" i="13"/>
  <c r="W29" i="13"/>
  <c r="W28" i="13"/>
  <c r="W27" i="13"/>
  <c r="W26" i="13"/>
  <c r="AD34" i="13"/>
  <c r="AD33" i="13"/>
  <c r="AD32" i="13"/>
  <c r="AD30" i="13"/>
  <c r="AD29" i="13"/>
  <c r="AD28" i="13"/>
  <c r="AD27" i="13"/>
  <c r="AD26" i="13"/>
  <c r="AD25" i="13"/>
  <c r="AC34" i="13"/>
  <c r="AC33" i="13"/>
  <c r="AC32" i="13"/>
  <c r="AC30" i="13"/>
  <c r="AC29" i="13"/>
  <c r="AC28" i="13"/>
  <c r="AC27" i="13"/>
  <c r="AC26" i="13"/>
  <c r="AC25" i="13"/>
  <c r="AB34" i="13"/>
  <c r="AB33" i="13"/>
  <c r="AB32" i="13"/>
  <c r="AB31" i="13"/>
  <c r="AB30" i="13"/>
  <c r="AB29" i="13"/>
  <c r="AB28" i="13"/>
  <c r="AB27" i="13"/>
  <c r="AB26" i="13"/>
  <c r="AB25" i="13"/>
  <c r="H34" i="13"/>
  <c r="H33" i="13"/>
  <c r="H32" i="13"/>
  <c r="H31" i="13"/>
  <c r="H30" i="13"/>
  <c r="H29" i="13"/>
  <c r="H28" i="13"/>
  <c r="H27" i="13"/>
  <c r="H26" i="13"/>
  <c r="G34" i="13"/>
  <c r="G33" i="13"/>
  <c r="G32" i="13"/>
  <c r="G31" i="13"/>
  <c r="G30" i="13"/>
  <c r="G29" i="13"/>
  <c r="G28" i="13"/>
  <c r="G27" i="13"/>
  <c r="G26" i="13"/>
  <c r="F34" i="13"/>
  <c r="F33" i="13"/>
  <c r="F32" i="13"/>
  <c r="F31" i="13"/>
  <c r="F30" i="13"/>
  <c r="F29" i="13"/>
  <c r="F28" i="13"/>
  <c r="F27" i="13"/>
  <c r="F26" i="13"/>
  <c r="C25" i="13"/>
  <c r="M25" i="13"/>
  <c r="L25" i="13"/>
  <c r="H25" i="13"/>
  <c r="G25" i="13"/>
  <c r="F25" i="13"/>
  <c r="K34" i="13"/>
  <c r="K33" i="13"/>
  <c r="E34" i="13"/>
  <c r="E33" i="13"/>
  <c r="E32" i="13"/>
  <c r="E31" i="13"/>
  <c r="E30" i="13"/>
  <c r="E29" i="13"/>
  <c r="E28" i="13"/>
  <c r="E27" i="13"/>
  <c r="E26" i="13"/>
  <c r="E25" i="13"/>
  <c r="D34" i="13"/>
  <c r="D33" i="13"/>
  <c r="D32" i="13"/>
  <c r="D31" i="13"/>
  <c r="D30" i="13"/>
  <c r="D29" i="13"/>
  <c r="D28" i="13"/>
  <c r="D27" i="13"/>
  <c r="D26" i="13"/>
  <c r="D25" i="13"/>
  <c r="C34" i="13"/>
  <c r="C33" i="13"/>
  <c r="C32" i="13"/>
  <c r="C31" i="13"/>
  <c r="C30" i="13"/>
  <c r="C29" i="13"/>
  <c r="C28" i="13"/>
  <c r="C27" i="13"/>
  <c r="C26" i="13"/>
  <c r="K35" i="13" l="1"/>
  <c r="X27" i="13"/>
  <c r="X31" i="13"/>
  <c r="X33" i="13"/>
  <c r="X29" i="13"/>
  <c r="X26" i="13"/>
  <c r="X28" i="13"/>
  <c r="X32" i="13"/>
  <c r="X30" i="13"/>
  <c r="AK29" i="13"/>
  <c r="AK30" i="13"/>
  <c r="AK31" i="13"/>
  <c r="AK32" i="13"/>
  <c r="AK33" i="13"/>
  <c r="AK26" i="13"/>
  <c r="AK34" i="13"/>
  <c r="AK27" i="13"/>
  <c r="AK28" i="13"/>
  <c r="X25" i="13"/>
  <c r="D35" i="13"/>
  <c r="AK51" i="13"/>
  <c r="AI51" i="13"/>
  <c r="AH51" i="13"/>
  <c r="AF51" i="13"/>
  <c r="AE51" i="13"/>
  <c r="AC51" i="13"/>
  <c r="AB51" i="13"/>
  <c r="AJ35" i="13"/>
  <c r="AG35" i="13"/>
  <c r="AD35" i="13"/>
  <c r="AI35" i="13"/>
  <c r="AF35" i="13"/>
  <c r="AC35" i="13"/>
  <c r="AH35" i="13"/>
  <c r="AE35" i="13"/>
  <c r="AB35" i="13"/>
  <c r="S51" i="13"/>
  <c r="M51" i="13"/>
  <c r="J51" i="13"/>
  <c r="G51" i="13"/>
  <c r="D51" i="13"/>
  <c r="AL50" i="13"/>
  <c r="AL49" i="13"/>
  <c r="AL48" i="13"/>
  <c r="AL47" i="13"/>
  <c r="AL46" i="13"/>
  <c r="AL45" i="13"/>
  <c r="AL44" i="13"/>
  <c r="AL43" i="13"/>
  <c r="AL42" i="13"/>
  <c r="AL41" i="13"/>
  <c r="AM34" i="13"/>
  <c r="AM33" i="13"/>
  <c r="AM32" i="13"/>
  <c r="AM31" i="13"/>
  <c r="AM30" i="13"/>
  <c r="AM29" i="13"/>
  <c r="AM28" i="13"/>
  <c r="AM27" i="13"/>
  <c r="AM26" i="13"/>
  <c r="AM25" i="13"/>
  <c r="AL34" i="13"/>
  <c r="AL33" i="13"/>
  <c r="AL32" i="13"/>
  <c r="AL31" i="13"/>
  <c r="AL30" i="13"/>
  <c r="AL29" i="13"/>
  <c r="AL28" i="13"/>
  <c r="AL27" i="13"/>
  <c r="AL26" i="13"/>
  <c r="AL25" i="13"/>
  <c r="AK25" i="13"/>
  <c r="R35" i="13"/>
  <c r="U35" i="13"/>
  <c r="W35" i="13"/>
  <c r="V35" i="13"/>
  <c r="T35" i="13"/>
  <c r="S35" i="13"/>
  <c r="Q35" i="13"/>
  <c r="N35" i="13"/>
  <c r="M35" i="13"/>
  <c r="I35" i="13"/>
  <c r="J35" i="13"/>
  <c r="H35" i="13"/>
  <c r="F35" i="13"/>
  <c r="E35" i="13"/>
  <c r="Z34" i="13"/>
  <c r="Z33" i="13"/>
  <c r="Z32" i="13"/>
  <c r="Z31" i="13"/>
  <c r="Z30" i="13"/>
  <c r="Z29" i="13"/>
  <c r="Z28" i="13"/>
  <c r="Z27" i="13"/>
  <c r="Z26" i="13"/>
  <c r="Z25" i="13"/>
  <c r="V51" i="13"/>
  <c r="P51" i="13"/>
  <c r="O51" i="13"/>
  <c r="L51" i="13"/>
  <c r="X51" i="13" s="1"/>
  <c r="C51" i="13"/>
  <c r="Y50" i="13"/>
  <c r="X50" i="13"/>
  <c r="Y49" i="13"/>
  <c r="X49" i="13"/>
  <c r="Y48" i="13"/>
  <c r="X48" i="13"/>
  <c r="Y47" i="13"/>
  <c r="X47" i="13"/>
  <c r="Y46" i="13"/>
  <c r="X46" i="13"/>
  <c r="Y45" i="13"/>
  <c r="X45" i="13"/>
  <c r="Y44" i="13"/>
  <c r="X44" i="13"/>
  <c r="Y43" i="13"/>
  <c r="X43" i="13"/>
  <c r="Y42" i="13"/>
  <c r="X42" i="13"/>
  <c r="Y41" i="13"/>
  <c r="X41" i="13"/>
  <c r="Y26" i="13"/>
  <c r="Y34" i="13"/>
  <c r="Y33" i="13"/>
  <c r="Y32" i="13"/>
  <c r="Y31" i="13"/>
  <c r="Y30" i="13"/>
  <c r="Y29" i="13"/>
  <c r="Y28" i="13"/>
  <c r="Y27" i="13"/>
  <c r="Y25" i="13"/>
  <c r="X34" i="13"/>
  <c r="Z35" i="13" l="1"/>
  <c r="Y51" i="13"/>
  <c r="X52" i="13" s="1"/>
  <c r="AK35" i="13"/>
  <c r="AL51" i="13"/>
  <c r="AK52" i="13" s="1"/>
  <c r="AM35" i="13"/>
  <c r="AL35" i="13"/>
  <c r="AK36" i="13" s="1"/>
  <c r="AK53" i="13" l="1"/>
  <c r="O9" i="13"/>
  <c r="P35" i="13"/>
  <c r="O35" i="13"/>
  <c r="L35" i="13"/>
  <c r="G35" i="13"/>
  <c r="C35" i="13"/>
  <c r="Y35" i="13" l="1"/>
  <c r="X35" i="13"/>
  <c r="X36" i="13" l="1"/>
  <c r="X53" i="13" s="1"/>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G10" i="5"/>
  <c r="E10" i="5"/>
  <c r="E10" i="11"/>
  <c r="K10" i="5"/>
  <c r="K7" i="5"/>
  <c r="K8" i="5"/>
  <c r="K9" i="5"/>
  <c r="AA5" i="13" l="1"/>
  <c r="J6" i="13"/>
  <c r="AA6" i="13"/>
  <c r="J7" i="13"/>
  <c r="AA7" i="13"/>
  <c r="AA8" i="13"/>
  <c r="J9" i="13"/>
  <c r="AA9" i="13"/>
  <c r="A3" i="13"/>
  <c r="A2" i="13"/>
  <c r="A1" i="13"/>
  <c r="J6" i="10"/>
  <c r="A63" i="12" l="1"/>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J9" i="12" l="1"/>
  <c r="J8" i="12"/>
  <c r="E8" i="12"/>
  <c r="J7" i="12"/>
  <c r="E7" i="12"/>
  <c r="J6" i="12"/>
  <c r="E6" i="12"/>
  <c r="A4" i="12"/>
  <c r="A3" i="12"/>
  <c r="A2" i="12"/>
  <c r="E62" i="9" l="1"/>
  <c r="E61" i="9"/>
  <c r="E60" i="9"/>
  <c r="E59" i="9"/>
  <c r="E58" i="9"/>
  <c r="E5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C62" i="9"/>
  <c r="C61"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E62" i="11" l="1"/>
  <c r="E61" i="11"/>
  <c r="G61" i="11" s="1"/>
  <c r="E60" i="11"/>
  <c r="V60" i="11" s="1"/>
  <c r="E59" i="11"/>
  <c r="L59" i="11" s="1"/>
  <c r="E58" i="11"/>
  <c r="E57" i="11"/>
  <c r="Q57" i="11" s="1"/>
  <c r="E56" i="11"/>
  <c r="L56" i="11" s="1"/>
  <c r="E55" i="11"/>
  <c r="E54" i="11"/>
  <c r="E53" i="11"/>
  <c r="AB53" i="11" s="1"/>
  <c r="E52" i="11"/>
  <c r="G52" i="11" s="1"/>
  <c r="E51" i="11"/>
  <c r="L51" i="11" s="1"/>
  <c r="E50" i="11"/>
  <c r="E49" i="11"/>
  <c r="G49" i="11" s="1"/>
  <c r="E48" i="11"/>
  <c r="V48" i="11" s="1"/>
  <c r="E47" i="11"/>
  <c r="E46" i="11"/>
  <c r="E45" i="11"/>
  <c r="AB45" i="11" s="1"/>
  <c r="E44" i="11"/>
  <c r="L44" i="11" s="1"/>
  <c r="E43" i="11"/>
  <c r="L43" i="11" s="1"/>
  <c r="E42" i="11"/>
  <c r="E41" i="11"/>
  <c r="AB41" i="11" s="1"/>
  <c r="E40" i="11"/>
  <c r="V40" i="11" s="1"/>
  <c r="E39" i="11"/>
  <c r="E38" i="11"/>
  <c r="E37" i="11"/>
  <c r="AB37" i="11" s="1"/>
  <c r="E36" i="11"/>
  <c r="V36" i="11" s="1"/>
  <c r="E35" i="11"/>
  <c r="L35" i="11" s="1"/>
  <c r="E34" i="11"/>
  <c r="E33" i="11"/>
  <c r="AB33" i="11" s="1"/>
  <c r="E32" i="11"/>
  <c r="E31" i="11"/>
  <c r="E30" i="11"/>
  <c r="G30" i="11" s="1"/>
  <c r="E29" i="11"/>
  <c r="G29" i="11" s="1"/>
  <c r="E28" i="11"/>
  <c r="V28" i="11" s="1"/>
  <c r="E27" i="11"/>
  <c r="E26" i="11"/>
  <c r="E25" i="11"/>
  <c r="Q25" i="11" s="1"/>
  <c r="E24" i="11"/>
  <c r="E23" i="11"/>
  <c r="E22" i="11"/>
  <c r="E21" i="11"/>
  <c r="AB21" i="11" s="1"/>
  <c r="E20" i="11"/>
  <c r="L20" i="11" s="1"/>
  <c r="E19" i="11"/>
  <c r="L19" i="11" s="1"/>
  <c r="E18" i="11"/>
  <c r="E17" i="11"/>
  <c r="G17" i="11" s="1"/>
  <c r="E16" i="11"/>
  <c r="L16" i="11" s="1"/>
  <c r="E15" i="11"/>
  <c r="E14" i="11"/>
  <c r="G14" i="11" s="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C62" i="11"/>
  <c r="C61" i="11"/>
  <c r="C60" i="11"/>
  <c r="C59" i="11"/>
  <c r="C58" i="11"/>
  <c r="C57" i="11"/>
  <c r="C56" i="11"/>
  <c r="C55" i="11"/>
  <c r="C54" i="11"/>
  <c r="C53" i="11"/>
  <c r="C52" i="11"/>
  <c r="C51" i="11"/>
  <c r="C50" i="11"/>
  <c r="C49" i="11"/>
  <c r="C48" i="11"/>
  <c r="C47" i="11"/>
  <c r="C46" i="11"/>
  <c r="C45" i="11"/>
  <c r="C44" i="11"/>
  <c r="C43" i="11"/>
  <c r="C42" i="11"/>
  <c r="C41" i="11"/>
  <c r="C40" i="11"/>
  <c r="C39" i="11"/>
  <c r="C38" i="11"/>
  <c r="C37" i="11"/>
  <c r="C36" i="11"/>
  <c r="C35" i="11"/>
  <c r="C34" i="11"/>
  <c r="C33" i="11"/>
  <c r="C32" i="11"/>
  <c r="C31" i="11"/>
  <c r="C30" i="11"/>
  <c r="C29" i="11"/>
  <c r="C28" i="11"/>
  <c r="C27" i="11"/>
  <c r="C26" i="11"/>
  <c r="C25" i="11"/>
  <c r="C24" i="11"/>
  <c r="C23" i="11"/>
  <c r="C22" i="11"/>
  <c r="C21" i="11"/>
  <c r="C20" i="11"/>
  <c r="C19" i="11"/>
  <c r="C18" i="11"/>
  <c r="C17" i="11"/>
  <c r="C16" i="11"/>
  <c r="C15" i="11"/>
  <c r="C14" i="11"/>
  <c r="B62" i="11"/>
  <c r="B61" i="11"/>
  <c r="B60" i="11"/>
  <c r="B59" i="11"/>
  <c r="B58" i="11"/>
  <c r="B57" i="11"/>
  <c r="B56" i="11"/>
  <c r="B55" i="11"/>
  <c r="B54" i="11"/>
  <c r="B53" i="11"/>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14" i="11"/>
  <c r="G59" i="11"/>
  <c r="G58" i="11"/>
  <c r="G51" i="11"/>
  <c r="G43" i="11"/>
  <c r="G42" i="11"/>
  <c r="G35" i="11"/>
  <c r="G28" i="11"/>
  <c r="G27" i="11"/>
  <c r="G26" i="11"/>
  <c r="G21" i="11"/>
  <c r="G19" i="11"/>
  <c r="A13" i="11"/>
  <c r="E13" i="11"/>
  <c r="E13" i="9"/>
  <c r="G13" i="10"/>
  <c r="C13" i="11"/>
  <c r="B13" i="11"/>
  <c r="D13" i="11"/>
  <c r="D13" i="9"/>
  <c r="D13" i="10"/>
  <c r="W13" i="10" s="1"/>
  <c r="C13" i="9"/>
  <c r="C13" i="10"/>
  <c r="B13" i="9"/>
  <c r="B1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D62" i="10"/>
  <c r="W62" i="10" s="1"/>
  <c r="D61" i="10"/>
  <c r="W61" i="10" s="1"/>
  <c r="D60" i="10"/>
  <c r="W60" i="10" s="1"/>
  <c r="D59" i="10"/>
  <c r="W59" i="10" s="1"/>
  <c r="D58" i="10"/>
  <c r="W58" i="10" s="1"/>
  <c r="D57" i="10"/>
  <c r="W57" i="10" s="1"/>
  <c r="D56" i="10"/>
  <c r="W56" i="10" s="1"/>
  <c r="D55" i="10"/>
  <c r="W55" i="10" s="1"/>
  <c r="D54" i="10"/>
  <c r="W54" i="10" s="1"/>
  <c r="D53" i="10"/>
  <c r="W53" i="10" s="1"/>
  <c r="D52" i="10"/>
  <c r="W52" i="10" s="1"/>
  <c r="D51" i="10"/>
  <c r="W51" i="10" s="1"/>
  <c r="D50" i="10"/>
  <c r="W50" i="10" s="1"/>
  <c r="D49" i="10"/>
  <c r="W49" i="10" s="1"/>
  <c r="D48" i="10"/>
  <c r="W48" i="10" s="1"/>
  <c r="D47" i="10"/>
  <c r="W47" i="10" s="1"/>
  <c r="D46" i="10"/>
  <c r="W46" i="10" s="1"/>
  <c r="D45" i="10"/>
  <c r="W45" i="10" s="1"/>
  <c r="D44" i="10"/>
  <c r="W44" i="10" s="1"/>
  <c r="D43" i="10"/>
  <c r="W43" i="10" s="1"/>
  <c r="D42" i="10"/>
  <c r="W42" i="10" s="1"/>
  <c r="D41" i="10"/>
  <c r="W41" i="10" s="1"/>
  <c r="D40" i="10"/>
  <c r="W40" i="10" s="1"/>
  <c r="D39" i="10"/>
  <c r="W39" i="10" s="1"/>
  <c r="D38" i="10"/>
  <c r="W38" i="10" s="1"/>
  <c r="D37" i="10"/>
  <c r="W37" i="10" s="1"/>
  <c r="D36" i="10"/>
  <c r="W36" i="10" s="1"/>
  <c r="D35" i="10"/>
  <c r="W35" i="10" s="1"/>
  <c r="D34" i="10"/>
  <c r="W34" i="10" s="1"/>
  <c r="D33" i="10"/>
  <c r="W33" i="10" s="1"/>
  <c r="D32" i="10"/>
  <c r="W32" i="10" s="1"/>
  <c r="D31" i="10"/>
  <c r="W31" i="10" s="1"/>
  <c r="D30" i="10"/>
  <c r="W30" i="10" s="1"/>
  <c r="D29" i="10"/>
  <c r="W29" i="10" s="1"/>
  <c r="D28" i="10"/>
  <c r="W28" i="10" s="1"/>
  <c r="D27" i="10"/>
  <c r="W27" i="10" s="1"/>
  <c r="D26" i="10"/>
  <c r="W26" i="10" s="1"/>
  <c r="D25" i="10"/>
  <c r="W25" i="10" s="1"/>
  <c r="D24" i="10"/>
  <c r="W24" i="10" s="1"/>
  <c r="D23" i="10"/>
  <c r="W23" i="10" s="1"/>
  <c r="D22" i="10"/>
  <c r="W22" i="10" s="1"/>
  <c r="D21" i="10"/>
  <c r="W21" i="10" s="1"/>
  <c r="D20" i="10"/>
  <c r="W20" i="10" s="1"/>
  <c r="D19" i="10"/>
  <c r="W19" i="10" s="1"/>
  <c r="D18" i="10"/>
  <c r="W18" i="10" s="1"/>
  <c r="D17" i="10"/>
  <c r="W17" i="10" s="1"/>
  <c r="D16" i="10"/>
  <c r="W16" i="10" s="1"/>
  <c r="D15" i="10"/>
  <c r="W15" i="10" s="1"/>
  <c r="D14" i="10"/>
  <c r="W14" i="10" s="1"/>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A13" i="10"/>
  <c r="G10" i="9"/>
  <c r="E10" i="9"/>
  <c r="G33" i="11" l="1"/>
  <c r="G57" i="11"/>
  <c r="G41" i="11"/>
  <c r="G25" i="11"/>
  <c r="G44" i="11"/>
  <c r="Q33" i="11"/>
  <c r="Q41" i="11"/>
  <c r="G53" i="11"/>
  <c r="V16" i="11"/>
  <c r="G37" i="11"/>
  <c r="G45" i="11"/>
  <c r="AB14" i="11"/>
  <c r="AL14" i="11"/>
  <c r="AB22" i="11"/>
  <c r="AL22" i="11"/>
  <c r="AB30" i="11"/>
  <c r="AL30" i="11"/>
  <c r="AB38" i="11"/>
  <c r="AL38" i="11"/>
  <c r="AB46" i="11"/>
  <c r="AL46" i="11"/>
  <c r="AB54" i="11"/>
  <c r="AL54" i="11"/>
  <c r="AB62" i="11"/>
  <c r="AL62" i="11"/>
  <c r="G20" i="11"/>
  <c r="G15" i="11"/>
  <c r="AL15" i="11"/>
  <c r="G23" i="11"/>
  <c r="AL23" i="11"/>
  <c r="G31" i="11"/>
  <c r="AL31" i="11"/>
  <c r="G39" i="11"/>
  <c r="AL39" i="11"/>
  <c r="G47" i="11"/>
  <c r="AL47" i="11"/>
  <c r="G55" i="11"/>
  <c r="AL55" i="11"/>
  <c r="L36" i="11"/>
  <c r="Q38" i="11"/>
  <c r="V20" i="11"/>
  <c r="V52" i="11"/>
  <c r="G46" i="11"/>
  <c r="G60" i="11"/>
  <c r="G16" i="11"/>
  <c r="AL16" i="11"/>
  <c r="G24" i="11"/>
  <c r="AL24" i="11"/>
  <c r="G32" i="11"/>
  <c r="AL32" i="11"/>
  <c r="G40" i="11"/>
  <c r="AL40" i="11"/>
  <c r="G48" i="11"/>
  <c r="AL48" i="11"/>
  <c r="G56" i="11"/>
  <c r="AL56" i="11"/>
  <c r="L40" i="11"/>
  <c r="L60" i="11"/>
  <c r="V24" i="11"/>
  <c r="V56" i="11"/>
  <c r="G36" i="11"/>
  <c r="V17" i="11"/>
  <c r="AL17" i="11"/>
  <c r="V25" i="11"/>
  <c r="AL25" i="11"/>
  <c r="V33" i="11"/>
  <c r="AL33" i="11"/>
  <c r="V41" i="11"/>
  <c r="AL41" i="11"/>
  <c r="V49" i="11"/>
  <c r="AL49" i="11"/>
  <c r="V57" i="11"/>
  <c r="AL57" i="11"/>
  <c r="Q14" i="11"/>
  <c r="Q46" i="11"/>
  <c r="G13" i="11"/>
  <c r="AL13" i="11"/>
  <c r="G62" i="11"/>
  <c r="Q18" i="11"/>
  <c r="AL18" i="11"/>
  <c r="Q26" i="11"/>
  <c r="AL26" i="11"/>
  <c r="Q34" i="11"/>
  <c r="AL34" i="11"/>
  <c r="Q42" i="11"/>
  <c r="AL42" i="11"/>
  <c r="Q50" i="11"/>
  <c r="AL50" i="11"/>
  <c r="Q58" i="11"/>
  <c r="AL58" i="11"/>
  <c r="L24" i="11"/>
  <c r="Q17" i="11"/>
  <c r="Q49" i="11"/>
  <c r="V32" i="11"/>
  <c r="AB17" i="11"/>
  <c r="AB49" i="11"/>
  <c r="Q19" i="11"/>
  <c r="AL19" i="11"/>
  <c r="Q27" i="11"/>
  <c r="AL27" i="11"/>
  <c r="Q35" i="11"/>
  <c r="AL35" i="11"/>
  <c r="Q43" i="11"/>
  <c r="AL43" i="11"/>
  <c r="Q51" i="11"/>
  <c r="AL51" i="11"/>
  <c r="Q59" i="11"/>
  <c r="AL59" i="11"/>
  <c r="L27" i="11"/>
  <c r="L48" i="11"/>
  <c r="Q22" i="11"/>
  <c r="Q54" i="11"/>
  <c r="AB20" i="11"/>
  <c r="AL20" i="11"/>
  <c r="AB28" i="11"/>
  <c r="AL28" i="11"/>
  <c r="AB36" i="11"/>
  <c r="AL36" i="11"/>
  <c r="AB44" i="11"/>
  <c r="AL44" i="11"/>
  <c r="AB52" i="11"/>
  <c r="AL52" i="11"/>
  <c r="AB60" i="11"/>
  <c r="AL60" i="11"/>
  <c r="L28" i="11"/>
  <c r="AB25" i="11"/>
  <c r="AB57" i="11"/>
  <c r="L21" i="11"/>
  <c r="AL21" i="11"/>
  <c r="L29" i="11"/>
  <c r="AL29" i="11"/>
  <c r="L37" i="11"/>
  <c r="AL37" i="11"/>
  <c r="L45" i="11"/>
  <c r="AL45" i="11"/>
  <c r="L53" i="11"/>
  <c r="AL53" i="11"/>
  <c r="L61" i="11"/>
  <c r="AL61" i="11"/>
  <c r="L32" i="11"/>
  <c r="L52" i="11"/>
  <c r="Q30" i="11"/>
  <c r="Q62" i="11"/>
  <c r="V44" i="11"/>
  <c r="AB29" i="11"/>
  <c r="AB61" i="11"/>
  <c r="G18" i="11"/>
  <c r="G38" i="11"/>
  <c r="G50" i="11"/>
  <c r="L14" i="11"/>
  <c r="L22" i="11"/>
  <c r="L30" i="11"/>
  <c r="L38" i="11"/>
  <c r="L46" i="11"/>
  <c r="L54" i="11"/>
  <c r="L62" i="11"/>
  <c r="Q20" i="11"/>
  <c r="Q28" i="11"/>
  <c r="Q36" i="11"/>
  <c r="Q44" i="11"/>
  <c r="Q52" i="11"/>
  <c r="Q60" i="11"/>
  <c r="V18" i="11"/>
  <c r="V26" i="11"/>
  <c r="V34" i="11"/>
  <c r="V42" i="11"/>
  <c r="V50" i="11"/>
  <c r="V58" i="11"/>
  <c r="AB15" i="11"/>
  <c r="AB23" i="11"/>
  <c r="AB31" i="11"/>
  <c r="AB39" i="11"/>
  <c r="AB47" i="11"/>
  <c r="AB55" i="11"/>
  <c r="L15" i="11"/>
  <c r="L23" i="11"/>
  <c r="L31" i="11"/>
  <c r="L39" i="11"/>
  <c r="L47" i="11"/>
  <c r="L55" i="11"/>
  <c r="L13" i="11"/>
  <c r="Q21" i="11"/>
  <c r="Q29" i="11"/>
  <c r="Q37" i="11"/>
  <c r="Q45" i="11"/>
  <c r="Q53" i="11"/>
  <c r="Q61" i="11"/>
  <c r="V19" i="11"/>
  <c r="V27" i="11"/>
  <c r="V35" i="11"/>
  <c r="V43" i="11"/>
  <c r="V51" i="11"/>
  <c r="V59" i="11"/>
  <c r="AB16" i="11"/>
  <c r="AB24" i="11"/>
  <c r="AB32" i="11"/>
  <c r="AB40" i="11"/>
  <c r="AB48" i="11"/>
  <c r="AB56" i="11"/>
  <c r="L17" i="11"/>
  <c r="L25" i="11"/>
  <c r="L33" i="11"/>
  <c r="L41" i="11"/>
  <c r="L49" i="11"/>
  <c r="L57" i="11"/>
  <c r="Q15" i="11"/>
  <c r="Q23" i="11"/>
  <c r="Q31" i="11"/>
  <c r="Q39" i="11"/>
  <c r="Q47" i="11"/>
  <c r="Q55" i="11"/>
  <c r="Q13" i="11"/>
  <c r="V21" i="11"/>
  <c r="V29" i="11"/>
  <c r="V37" i="11"/>
  <c r="V45" i="11"/>
  <c r="V53" i="11"/>
  <c r="V61" i="11"/>
  <c r="AB18" i="11"/>
  <c r="AB26" i="11"/>
  <c r="AB34" i="11"/>
  <c r="AB42" i="11"/>
  <c r="AB50" i="11"/>
  <c r="AB58" i="11"/>
  <c r="G22" i="11"/>
  <c r="G34" i="11"/>
  <c r="G54" i="11"/>
  <c r="L18" i="11"/>
  <c r="L26" i="11"/>
  <c r="L34" i="11"/>
  <c r="L42" i="11"/>
  <c r="L50" i="11"/>
  <c r="L58" i="11"/>
  <c r="Q16" i="11"/>
  <c r="Q24" i="11"/>
  <c r="Q32" i="11"/>
  <c r="Q40" i="11"/>
  <c r="Q48" i="11"/>
  <c r="Q56" i="11"/>
  <c r="V14" i="11"/>
  <c r="V22" i="11"/>
  <c r="V30" i="11"/>
  <c r="V38" i="11"/>
  <c r="V46" i="11"/>
  <c r="V54" i="11"/>
  <c r="V62" i="11"/>
  <c r="AB19" i="11"/>
  <c r="AB27" i="11"/>
  <c r="AB35" i="11"/>
  <c r="AB43" i="11"/>
  <c r="AB51" i="11"/>
  <c r="AB59" i="11"/>
  <c r="V15" i="11"/>
  <c r="V23" i="11"/>
  <c r="V31" i="11"/>
  <c r="V39" i="11"/>
  <c r="V47" i="11"/>
  <c r="V55" i="11"/>
  <c r="V13" i="11"/>
  <c r="AB13" i="11"/>
  <c r="E7" i="10" l="1"/>
  <c r="J7" i="10"/>
  <c r="E8" i="10"/>
  <c r="J8" i="10"/>
  <c r="J9" i="10"/>
  <c r="E10" i="4" l="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L10" i="11"/>
  <c r="G10" i="11"/>
  <c r="L9" i="11"/>
  <c r="L8" i="11"/>
  <c r="E8" i="11"/>
  <c r="L7" i="11"/>
  <c r="E7" i="11"/>
  <c r="L6" i="11"/>
  <c r="E6" i="11"/>
  <c r="A4" i="11"/>
  <c r="A3" i="11"/>
  <c r="A2" i="11"/>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J10" i="10"/>
  <c r="A4" i="10"/>
  <c r="A3" i="10"/>
  <c r="A2" i="10"/>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P10" i="9"/>
  <c r="P9" i="9"/>
  <c r="P8" i="9"/>
  <c r="E8" i="9"/>
  <c r="P7" i="9"/>
  <c r="E7" i="9"/>
  <c r="P6" i="9"/>
  <c r="E6" i="9"/>
  <c r="A4" i="9"/>
  <c r="A3" i="9"/>
  <c r="A2" i="9"/>
  <c r="A4" i="5" l="1"/>
  <c r="A3" i="5"/>
  <c r="A2" i="5"/>
  <c r="K6" i="5"/>
  <c r="M6" i="8"/>
  <c r="E8" i="5"/>
  <c r="E7" i="5"/>
  <c r="E6" i="5"/>
  <c r="E6" i="8"/>
  <c r="A14" i="5"/>
  <c r="A62" i="8" l="1"/>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M10" i="8"/>
  <c r="H10" i="8"/>
  <c r="E10" i="8"/>
  <c r="M9" i="8"/>
  <c r="M8" i="8"/>
  <c r="E8" i="8"/>
  <c r="M7" i="8"/>
  <c r="E7" i="8"/>
  <c r="A4" i="8"/>
  <c r="A3" i="8"/>
  <c r="A2" i="8"/>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l="1"/>
  <c r="M10" i="4"/>
  <c r="M9" i="4"/>
  <c r="M8" i="4"/>
  <c r="M7" i="4"/>
  <c r="E8" i="4"/>
  <c r="E7" i="4"/>
  <c r="A4" i="4"/>
  <c r="A3" i="4"/>
  <c r="D17" i="53" l="1"/>
  <c r="D17" i="53"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<sst xmlns="http://schemas.openxmlformats.org/spreadsheetml/2006/main" count="13026" uniqueCount="935">
  <si>
    <r>
      <rPr>
        <b/>
        <sz val="11"/>
        <color theme="1"/>
        <rFont val="Calibri"/>
        <family val="2"/>
        <scheme val="minor"/>
      </rPr>
      <t xml:space="preserve">Program: </t>
    </r>
    <r>
      <rPr>
        <sz val="8"/>
        <color theme="1"/>
        <rFont val="Calibri"/>
        <family val="2"/>
        <scheme val="minor"/>
      </rPr>
      <t>(same as on Statement of Work [SOW])</t>
    </r>
  </si>
  <si>
    <t>Grantee Name:</t>
  </si>
  <si>
    <r>
      <rPr>
        <b/>
        <sz val="11"/>
        <color theme="1"/>
        <rFont val="Calibri"/>
        <family val="2"/>
        <scheme val="minor"/>
      </rPr>
      <t xml:space="preserve">Name of Program: </t>
    </r>
    <r>
      <rPr>
        <sz val="11"/>
        <color theme="1"/>
        <rFont val="Calibri"/>
        <family val="2"/>
        <scheme val="minor"/>
      </rPr>
      <t>(given by Grantee)</t>
    </r>
  </si>
  <si>
    <t>Contact Name(s):</t>
  </si>
  <si>
    <t>Physical Address of Program:</t>
  </si>
  <si>
    <t>Contact Phone:</t>
  </si>
  <si>
    <r>
      <rPr>
        <b/>
        <sz val="11"/>
        <color theme="1"/>
        <rFont val="Calibri"/>
        <family val="2"/>
        <scheme val="minor"/>
      </rPr>
      <t>Grant Number:</t>
    </r>
    <r>
      <rPr>
        <sz val="11"/>
        <color theme="1"/>
        <rFont val="Calibri"/>
        <family val="2"/>
        <scheme val="minor"/>
      </rPr>
      <t xml:space="preserve"> </t>
    </r>
    <r>
      <rPr>
        <sz val="8"/>
        <color theme="1"/>
        <rFont val="Calibri"/>
        <family val="2"/>
        <scheme val="minor"/>
      </rPr>
      <t xml:space="preserve">(located on Grant Agreement) </t>
    </r>
  </si>
  <si>
    <r>
      <rPr>
        <b/>
        <sz val="11"/>
        <color theme="1"/>
        <rFont val="Calibri"/>
        <family val="2"/>
        <scheme val="minor"/>
      </rPr>
      <t>Month/Year Being Reported</t>
    </r>
    <r>
      <rPr>
        <b/>
        <sz val="8"/>
        <color theme="1"/>
        <rFont val="Calibri"/>
        <family val="2"/>
        <scheme val="minor"/>
      </rPr>
      <t xml:space="preserve"> </t>
    </r>
    <r>
      <rPr>
        <sz val="8"/>
        <color theme="1"/>
        <rFont val="Calibri"/>
        <family val="2"/>
        <scheme val="minor"/>
      </rPr>
      <t xml:space="preserve">(Drop-Down box) </t>
    </r>
  </si>
  <si>
    <r>
      <rPr>
        <b/>
        <sz val="11"/>
        <color theme="1"/>
        <rFont val="Calibri"/>
        <family val="2"/>
        <scheme val="minor"/>
      </rPr>
      <t>Program Code:</t>
    </r>
    <r>
      <rPr>
        <sz val="11"/>
        <color theme="1"/>
        <rFont val="Calibri"/>
        <family val="2"/>
        <scheme val="minor"/>
      </rPr>
      <t xml:space="preserve"> </t>
    </r>
    <r>
      <rPr>
        <sz val="8"/>
        <color theme="1"/>
        <rFont val="Calibri"/>
        <family val="2"/>
        <scheme val="minor"/>
      </rPr>
      <t xml:space="preserve">(located on TFB or SOW) </t>
    </r>
  </si>
  <si>
    <t>JAN</t>
  </si>
  <si>
    <t>FEB</t>
  </si>
  <si>
    <t>MAR</t>
  </si>
  <si>
    <t>APR</t>
  </si>
  <si>
    <t>MAY</t>
  </si>
  <si>
    <t>JUNE</t>
  </si>
  <si>
    <t>JULY</t>
  </si>
  <si>
    <t>AUG</t>
  </si>
  <si>
    <t>SEPT</t>
  </si>
  <si>
    <t>OCT</t>
  </si>
  <si>
    <t>NOV</t>
  </si>
  <si>
    <t>DEC</t>
  </si>
  <si>
    <t xml:space="preserve">Program reports need to be submitted electronically, via e-mail to DHHRBBHReporting@wv.gov  within 25 calendar days of the end of each month </t>
  </si>
  <si>
    <t>x</t>
  </si>
  <si>
    <t>July 1 - 31</t>
  </si>
  <si>
    <t>Pertinent Information - Updates - Highlights [ Provide a description of 3 Major Activities / Accomplishments related to measurable outcomes - Provide a description of barriers, how they were addressed, as well as remaining barriers]</t>
  </si>
  <si>
    <t xml:space="preserve">Pick List </t>
  </si>
  <si>
    <t>MONTH</t>
  </si>
  <si>
    <t>YEAR</t>
  </si>
  <si>
    <t>RACE</t>
  </si>
  <si>
    <t>ETHNICITY</t>
  </si>
  <si>
    <t>GENDER</t>
  </si>
  <si>
    <t>COUNTY</t>
  </si>
  <si>
    <t>REGION</t>
  </si>
  <si>
    <t>Region 1</t>
  </si>
  <si>
    <t>Region 4</t>
  </si>
  <si>
    <t>Region 6</t>
  </si>
  <si>
    <t>African American /Black</t>
  </si>
  <si>
    <t>Not Hispanic or Latino</t>
  </si>
  <si>
    <t>Male</t>
  </si>
  <si>
    <t>Barbour</t>
  </si>
  <si>
    <t>Brooke</t>
  </si>
  <si>
    <t>Fayette</t>
  </si>
  <si>
    <t>August 1 - 31</t>
  </si>
  <si>
    <t>American Indian / Alaska Native</t>
  </si>
  <si>
    <t xml:space="preserve">Hispanic-Latino </t>
  </si>
  <si>
    <t>Female</t>
  </si>
  <si>
    <t>Berkeley</t>
  </si>
  <si>
    <t>Hancock</t>
  </si>
  <si>
    <t>Braxton</t>
  </si>
  <si>
    <t>Greenbrier</t>
  </si>
  <si>
    <t>September 1 - 30</t>
  </si>
  <si>
    <t>Asian</t>
  </si>
  <si>
    <t>Unknown</t>
  </si>
  <si>
    <t>Boone</t>
  </si>
  <si>
    <t>Marshall</t>
  </si>
  <si>
    <t>Doddridge</t>
  </si>
  <si>
    <t>McDowell</t>
  </si>
  <si>
    <t>October 1 - 31</t>
  </si>
  <si>
    <t>White</t>
  </si>
  <si>
    <t>Ohio</t>
  </si>
  <si>
    <t>Gilmer</t>
  </si>
  <si>
    <t>Mercer</t>
  </si>
  <si>
    <t>November 1 - 30</t>
  </si>
  <si>
    <t>More than one race reported</t>
  </si>
  <si>
    <t>Wetzel</t>
  </si>
  <si>
    <t>Harrison</t>
  </si>
  <si>
    <t>Monroe</t>
  </si>
  <si>
    <t>December 1 - 31</t>
  </si>
  <si>
    <t>Native Hawaiian / Other Pacific Islander</t>
  </si>
  <si>
    <t>Cabell</t>
  </si>
  <si>
    <t>Lewis</t>
  </si>
  <si>
    <t>Nicholas</t>
  </si>
  <si>
    <t>January 1 - 31</t>
  </si>
  <si>
    <t>Calhoun</t>
  </si>
  <si>
    <t>Marion</t>
  </si>
  <si>
    <t>Pocahontas</t>
  </si>
  <si>
    <t>February 1 - 28/29</t>
  </si>
  <si>
    <t>Mexican / Chicano</t>
  </si>
  <si>
    <t>Transgender</t>
  </si>
  <si>
    <t>Clay</t>
  </si>
  <si>
    <t>Region 2</t>
  </si>
  <si>
    <t>Monongalia</t>
  </si>
  <si>
    <t>Raleigh</t>
  </si>
  <si>
    <t>March 1 - 31</t>
  </si>
  <si>
    <t>Puerto Rican</t>
  </si>
  <si>
    <t xml:space="preserve">Do not identify as female, male or transgender </t>
  </si>
  <si>
    <t>Preston</t>
  </si>
  <si>
    <t>Summers</t>
  </si>
  <si>
    <t>April 1 - 30</t>
  </si>
  <si>
    <t>Cuban</t>
  </si>
  <si>
    <t>Grant</t>
  </si>
  <si>
    <t>Randolph</t>
  </si>
  <si>
    <t>Webster</t>
  </si>
  <si>
    <t>May 1 - 31</t>
  </si>
  <si>
    <t>YES - NO</t>
  </si>
  <si>
    <t>Dominican</t>
  </si>
  <si>
    <t>Hampshire</t>
  </si>
  <si>
    <t>Taylor</t>
  </si>
  <si>
    <t>Wyoming</t>
  </si>
  <si>
    <t>June 1 - 30</t>
  </si>
  <si>
    <t>YES</t>
  </si>
  <si>
    <t>Central American</t>
  </si>
  <si>
    <t>Hardy</t>
  </si>
  <si>
    <t>Tucker</t>
  </si>
  <si>
    <t>NO</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</si>
  <si>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</si>
  <si>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</si>
  <si>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</si>
  <si>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</si>
  <si>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</si>
  <si>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</si>
  <si>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</si>
  <si>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</si>
  <si>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</si>
  <si>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</si>
  <si>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</si>
  <si>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Region 5</t>
  </si>
  <si>
    <t>ER</t>
  </si>
  <si>
    <t>Psychiatric Hospitalization</t>
  </si>
  <si>
    <t>OUD Treatment</t>
  </si>
  <si>
    <t>Jackson</t>
  </si>
  <si>
    <t>Mobile Crisis Unit</t>
  </si>
  <si>
    <t>N/A Male</t>
  </si>
  <si>
    <t xml:space="preserve">Other TX Services (specify in Notes) </t>
  </si>
  <si>
    <t>Region 3</t>
  </si>
  <si>
    <t>Kanawha</t>
  </si>
  <si>
    <t>OUD</t>
  </si>
  <si>
    <t>Lincoln</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</si>
  <si>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</si>
  <si>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</si>
  <si>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</si>
  <si>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</si>
  <si>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</si>
  <si>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</si>
  <si>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</si>
  <si>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</si>
  <si>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</si>
  <si>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</si>
  <si>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</si>
  <si>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</si>
  <si>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</si>
  <si>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</si>
  <si>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</si>
  <si>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</si>
  <si>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</si>
  <si>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</si>
  <si>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</si>
  <si>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</si>
  <si>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</si>
  <si>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</si>
  <si>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</si>
  <si>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</si>
  <si>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</si>
  <si>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</si>
  <si>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</si>
  <si>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</si>
  <si>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</si>
  <si>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</si>
  <si>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</si>
  <si>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</si>
  <si>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</si>
  <si>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</si>
  <si>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</si>
  <si>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</si>
  <si>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</si>
  <si>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</si>
  <si>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</si>
  <si>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</si>
  <si>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</si>
  <si>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</si>
  <si>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</si>
  <si>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</si>
  <si>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</si>
  <si>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</si>
  <si>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</si>
  <si>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</si>
  <si>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</si>
  <si>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</si>
  <si>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</si>
  <si>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</si>
  <si>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</si>
  <si>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</si>
  <si>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</si>
  <si>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</si>
  <si>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</si>
  <si>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</si>
  <si>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</si>
  <si>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</si>
  <si>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</si>
  <si>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</si>
  <si>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</si>
  <si>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</si>
  <si>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</si>
  <si>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</si>
  <si>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</si>
  <si>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</si>
  <si>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</si>
  <si>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</si>
  <si>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</si>
  <si>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</si>
  <si>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</si>
  <si>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</si>
  <si>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</si>
  <si>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</si>
  <si>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 xml:space="preserve">Correctional Facility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</si>
  <si>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</si>
  <si>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</si>
  <si>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</si>
  <si>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</si>
  <si>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</si>
  <si>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</si>
  <si>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</si>
  <si>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</si>
  <si>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</si>
  <si>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</si>
  <si>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</si>
  <si>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</si>
  <si>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</si>
  <si>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</si>
  <si>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</si>
  <si>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</si>
  <si>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</si>
  <si>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</si>
  <si>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</si>
  <si>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</si>
  <si>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</si>
  <si>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</si>
  <si>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</si>
  <si>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</si>
  <si>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</si>
  <si>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</si>
  <si>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SUD &amp; MH</t>
  </si>
  <si>
    <t xml:space="preserve">Survey Completed For: </t>
  </si>
  <si>
    <t>Service Rendered</t>
  </si>
  <si>
    <t xml:space="preserve">Information that was received </t>
  </si>
  <si>
    <t xml:space="preserve">Both Service Rendered &amp; Information that was received </t>
  </si>
  <si>
    <t xml:space="preserve">2a) GRANTEE - PROGRAM INFORMATION:   (Any changes will need to be made on 1BASEGRANTEE INFO &amp; UPDATES Tab) </t>
  </si>
  <si>
    <t xml:space="preserve">2b) DEMOGRAPHICS - COMPLETE WHEN CLIENT IS ADMITTED TO THE PROGRAM </t>
  </si>
  <si>
    <t>AGE</t>
  </si>
  <si>
    <t xml:space="preserve">Veteran </t>
  </si>
  <si>
    <t>Pregnancy Status                             (IF FEMALE MUST CHOOSE YES or NO)</t>
  </si>
  <si>
    <t>If female, are they parenting (own children)</t>
  </si>
  <si>
    <t>Involved in Criminal Justice System at time of referral</t>
  </si>
  <si>
    <t xml:space="preserve">Ethnicity   Hispanic Origin </t>
  </si>
  <si>
    <t>Race</t>
  </si>
  <si>
    <t>#</t>
  </si>
  <si>
    <t>Date of Training</t>
  </si>
  <si>
    <t>Name of Evidence Based Training</t>
  </si>
  <si>
    <t xml:space="preserve">Was training regarding Naxolone? </t>
  </si>
  <si>
    <t xml:space="preserve">Purpose of Training </t>
  </si>
  <si>
    <t>Person(s) Providing Training</t>
  </si>
  <si>
    <t>Credentials of Person(s) Providing Training</t>
  </si>
  <si>
    <t xml:space="preserve">Was training done to fulfil the SOR SOW (YES/NO) </t>
  </si>
  <si>
    <t>Peer Recovery Support Positions</t>
  </si>
  <si>
    <t>Physicians</t>
  </si>
  <si>
    <t>Physician Assistants</t>
  </si>
  <si>
    <t>Nurse Practitioners</t>
  </si>
  <si>
    <t>Nurse (RN, LPN)</t>
  </si>
  <si>
    <t>Social Workers</t>
  </si>
  <si>
    <t>Addiction Counselors</t>
  </si>
  <si>
    <t>Prevention</t>
  </si>
  <si>
    <t xml:space="preserve">Other (Describe in notes) </t>
  </si>
  <si>
    <t>NOTES</t>
  </si>
  <si>
    <r>
      <t xml:space="preserve">Program Name:  </t>
    </r>
    <r>
      <rPr>
        <sz val="8"/>
        <rFont val="Calibri"/>
        <family val="2"/>
        <scheme val="minor"/>
      </rPr>
      <t xml:space="preserve">(same as on Statement of Work): </t>
    </r>
  </si>
  <si>
    <r>
      <t xml:space="preserve">Name of Program </t>
    </r>
    <r>
      <rPr>
        <sz val="8"/>
        <color theme="1"/>
        <rFont val="Calibri"/>
        <family val="2"/>
        <scheme val="minor"/>
      </rPr>
      <t>(given by Grantee):;</t>
    </r>
  </si>
  <si>
    <t>Contact Name (s)</t>
  </si>
  <si>
    <t xml:space="preserve">Physical Address of Program: </t>
  </si>
  <si>
    <t xml:space="preserve">Contact Phone(s): </t>
  </si>
  <si>
    <t>Grant Number:</t>
  </si>
  <si>
    <r>
      <rPr>
        <b/>
        <sz val="11"/>
        <color rgb="FFFF0000"/>
        <rFont val="Calibri"/>
        <family val="2"/>
        <scheme val="minor"/>
      </rPr>
      <t xml:space="preserve">Month Being Reported </t>
    </r>
    <r>
      <rPr>
        <sz val="8"/>
        <color rgb="FFFF0000"/>
        <rFont val="Calibri"/>
        <family val="2"/>
        <scheme val="minor"/>
      </rPr>
      <t>(Month/Year)</t>
    </r>
    <r>
      <rPr>
        <sz val="11"/>
        <color rgb="FFFF0000"/>
        <rFont val="Calibri"/>
        <family val="2"/>
        <scheme val="minor"/>
      </rPr>
      <t>:</t>
    </r>
  </si>
  <si>
    <r>
      <t>NUMBER OF</t>
    </r>
    <r>
      <rPr>
        <b/>
        <sz val="10"/>
        <color theme="1"/>
        <rFont val="Calibri"/>
        <family val="2"/>
        <scheme val="minor"/>
      </rPr>
      <t xml:space="preserve"> </t>
    </r>
    <r>
      <rPr>
        <b/>
        <sz val="10"/>
        <color rgb="FFFF0000"/>
        <rFont val="Calibri"/>
        <family val="2"/>
        <scheme val="minor"/>
      </rPr>
      <t>INTERNAL STAFF</t>
    </r>
    <r>
      <rPr>
        <b/>
        <sz val="10"/>
        <color theme="1"/>
        <rFont val="Calibri"/>
        <family val="2"/>
        <scheme val="minor"/>
      </rPr>
      <t xml:space="preserve"> </t>
    </r>
    <r>
      <rPr>
        <b/>
        <sz val="10"/>
        <color rgb="FFFF0000"/>
        <rFont val="Calibri"/>
        <family val="2"/>
        <scheme val="minor"/>
      </rPr>
      <t>(FUNDED BY SOR GRANT</t>
    </r>
    <r>
      <rPr>
        <sz val="10"/>
        <color rgb="FFFF0000"/>
        <rFont val="Calibri"/>
        <family val="2"/>
        <scheme val="minor"/>
      </rPr>
      <t>)</t>
    </r>
    <r>
      <rPr>
        <sz val="10"/>
        <color theme="1"/>
        <rFont val="Calibri"/>
        <family val="2"/>
        <scheme val="minor"/>
      </rPr>
      <t xml:space="preserve"> PARTICIPATING BY DISCIPLINE </t>
    </r>
  </si>
  <si>
    <r>
      <t xml:space="preserve">NUMBER OF </t>
    </r>
    <r>
      <rPr>
        <b/>
        <sz val="10"/>
        <color theme="1"/>
        <rFont val="Calibri"/>
        <family val="2"/>
        <scheme val="minor"/>
      </rPr>
      <t>INTERNAL/EXTERNAL</t>
    </r>
    <r>
      <rPr>
        <sz val="10"/>
        <color theme="1"/>
        <rFont val="Calibri"/>
        <family val="2"/>
        <scheme val="minor"/>
      </rPr>
      <t xml:space="preserve"> INDIVIDUALS </t>
    </r>
    <r>
      <rPr>
        <sz val="10"/>
        <color rgb="FFFF0000"/>
        <rFont val="Calibri"/>
        <family val="2"/>
        <scheme val="minor"/>
      </rPr>
      <t>(</t>
    </r>
    <r>
      <rPr>
        <b/>
        <u/>
        <sz val="10"/>
        <color rgb="FFFF0000"/>
        <rFont val="Calibri"/>
        <family val="2"/>
        <scheme val="minor"/>
      </rPr>
      <t>NOT FUNDED</t>
    </r>
    <r>
      <rPr>
        <u/>
        <sz val="10"/>
        <color rgb="FFFF0000"/>
        <rFont val="Calibri"/>
        <family val="2"/>
        <scheme val="minor"/>
      </rPr>
      <t xml:space="preserve"> BY  GRANT</t>
    </r>
    <r>
      <rPr>
        <sz val="10"/>
        <color rgb="FFFF0000"/>
        <rFont val="Calibri"/>
        <family val="2"/>
        <scheme val="minor"/>
      </rPr>
      <t xml:space="preserve">) </t>
    </r>
    <r>
      <rPr>
        <sz val="10"/>
        <color theme="1"/>
        <rFont val="Calibri"/>
        <family val="2"/>
        <scheme val="minor"/>
      </rPr>
      <t xml:space="preserve">PARTICIPATING  BY DISCIPLINE </t>
    </r>
  </si>
  <si>
    <t>Entity  Providing Training</t>
  </si>
  <si>
    <t>xx</t>
  </si>
  <si>
    <t xml:space="preserve">Location of Training (City - County) </t>
  </si>
  <si>
    <t>Internal Space for Grantee</t>
  </si>
  <si>
    <t>Internal Unique Client I.D (needs to match GPRA ID)</t>
  </si>
  <si>
    <t>Date Referred for admission to  MAT</t>
  </si>
  <si>
    <t>Referral Source for Admission</t>
  </si>
  <si>
    <t xml:space="preserve">If from Correctional Facility, was referral prompted by the criminal justice  system? </t>
  </si>
  <si>
    <t>Date Admitted to MAT</t>
  </si>
  <si>
    <t>Has individual been discharged and readmitted since Funded with SOR</t>
  </si>
  <si>
    <t>Is Prescriber MAT Waivered</t>
  </si>
  <si>
    <t xml:space="preserve">Was Assessment Completed at time of Admission (Intake)?  If no Specify why in note section </t>
  </si>
  <si>
    <t xml:space="preserve">Span from Referral to Admission </t>
  </si>
  <si>
    <t xml:space="preserve">If time span &gt; 0 [SAME DAY], what resources / support were provided in the interim </t>
  </si>
  <si>
    <t xml:space="preserve">Admitted to appropriate ASAM level of Care: </t>
  </si>
  <si>
    <t xml:space="preserve">ASAM LEVEL OF CARE </t>
  </si>
  <si>
    <t xml:space="preserve">Type of FDA approved MAT Utilized by Client (Choose One) </t>
  </si>
  <si>
    <r>
      <t xml:space="preserve">Compliant with SAMHSA Prohibition of the USE of SOR funding for Opioid Detox. </t>
    </r>
    <r>
      <rPr>
        <u/>
        <sz val="8"/>
        <color theme="9" tint="-0.499984740745262"/>
        <rFont val="Calibri"/>
        <family val="2"/>
        <scheme val="minor"/>
      </rPr>
      <t>If not</t>
    </r>
    <r>
      <rPr>
        <sz val="8"/>
        <color theme="9" tint="-0.499984740745262"/>
        <rFont val="Calibri"/>
        <family val="2"/>
        <scheme val="minor"/>
      </rPr>
      <t xml:space="preserve"> go to column BI</t>
    </r>
  </si>
  <si>
    <t xml:space="preserve">If no, is detoxification accompanied by extended release naltrexone? </t>
  </si>
  <si>
    <t>Age</t>
  </si>
  <si>
    <t>Gender</t>
  </si>
  <si>
    <t xml:space="preserve">Ethnicity  Hispanic-Latino </t>
  </si>
  <si>
    <t>Veteran</t>
  </si>
  <si>
    <t>Client Pregnant (If Female need to choose YES or NO)</t>
  </si>
  <si>
    <t>If Pregnant, Due Date</t>
  </si>
  <si>
    <t>If pregnant, Delivery Date</t>
  </si>
  <si>
    <t xml:space="preserve">Living Situation at time of referral </t>
  </si>
  <si>
    <t>Does the individual have a co-occurring mental illness</t>
  </si>
  <si>
    <t>Medical Insurance at time of admission</t>
  </si>
  <si>
    <t>Was the uninsured eligible person enrolled in health insurance during stay</t>
  </si>
  <si>
    <r>
      <t xml:space="preserve">Resources </t>
    </r>
    <r>
      <rPr>
        <u/>
        <sz val="8"/>
        <color theme="9" tint="-0.499984740745262"/>
        <rFont val="Calibri"/>
        <family val="2"/>
        <scheme val="minor"/>
      </rPr>
      <t xml:space="preserve">offered </t>
    </r>
    <r>
      <rPr>
        <sz val="8"/>
        <color theme="9" tint="-0.499984740745262"/>
        <rFont val="Calibri"/>
        <family val="2"/>
        <scheme val="minor"/>
      </rPr>
      <t>by grantee to support recovery</t>
    </r>
  </si>
  <si>
    <r>
      <t xml:space="preserve">Resources </t>
    </r>
    <r>
      <rPr>
        <u/>
        <sz val="8"/>
        <color theme="9" tint="-0.499984740745262"/>
        <rFont val="Calibri"/>
        <family val="2"/>
        <scheme val="minor"/>
      </rPr>
      <t>referred</t>
    </r>
    <r>
      <rPr>
        <sz val="8"/>
        <color theme="9" tint="-0.499984740745262"/>
        <rFont val="Calibri"/>
        <family val="2"/>
        <scheme val="minor"/>
      </rPr>
      <t xml:space="preserve"> by grantee to support recovery</t>
    </r>
  </si>
  <si>
    <t xml:space="preserve">GPRA COMPLETED AT INTAKE </t>
  </si>
  <si>
    <t>30 DAYS from service onset(Date)</t>
  </si>
  <si>
    <t>30 Days                                      Telehealth</t>
  </si>
  <si>
    <t>30 Days                     Peer Recovery Support</t>
  </si>
  <si>
    <t xml:space="preserve"> Days                                                                              # Other: Specify in Note Section </t>
  </si>
  <si>
    <t>60 DAYS from service onset (Date)</t>
  </si>
  <si>
    <t>60 Days           Telehealth</t>
  </si>
  <si>
    <t>60 Days                            Peer Recovery Support</t>
  </si>
  <si>
    <t>60 Days                               Other: Specify in Note Section</t>
  </si>
  <si>
    <t>90 DAYS from service onset (Date)</t>
  </si>
  <si>
    <t>90 Days                     Telehealth</t>
  </si>
  <si>
    <t>90 Days                    Peer Recovery Support</t>
  </si>
  <si>
    <t>90 Days                   Other: Specify in Note Section</t>
  </si>
  <si>
    <t>6 MONTHS  from service onset (Date)</t>
  </si>
  <si>
    <t xml:space="preserve">6 mo                     Telehealth -  </t>
  </si>
  <si>
    <t>6 mo                                            Peer Recovery Support</t>
  </si>
  <si>
    <t>6 mo                                                            Other: Specify in Note Section</t>
  </si>
  <si>
    <t>GPRA Completed AT 6 MONTHS</t>
  </si>
  <si>
    <t>1 YEAR from service onset (Date)</t>
  </si>
  <si>
    <t xml:space="preserve">1 yr                           Telehealth </t>
  </si>
  <si>
    <t>1 yr                               Peer Recovery Support</t>
  </si>
  <si>
    <t>1 yr                                                                                                    Other: Specify in Note Section</t>
  </si>
  <si>
    <t>DISCHARGE -                         Client Discharged</t>
  </si>
  <si>
    <t>DATE OF DISCHARGE</t>
  </si>
  <si>
    <t>Discharge         Telehealth</t>
  </si>
  <si>
    <t>Discharge           Peer Recovery Support</t>
  </si>
  <si>
    <t>Discharge                  Other: Specify in Note Section</t>
  </si>
  <si>
    <t>LOS At time of Discharge</t>
  </si>
  <si>
    <t>GPRA Completed at Discharge</t>
  </si>
  <si>
    <t>aaaaa11111aaaaa</t>
  </si>
  <si>
    <t xml:space="preserve">Internal Space for Grantee (will auto populate to other tabs) </t>
  </si>
  <si>
    <t xml:space="preserve">Internal Permanent ID (will auto populate to other tabs) </t>
  </si>
  <si>
    <t>Internal Space for Grantee (will auto populate)</t>
  </si>
  <si>
    <t>Internal Permanent ID (will auto populate)</t>
  </si>
  <si>
    <t xml:space="preserve">If pregnant, Due Date of Baby </t>
  </si>
  <si>
    <t xml:space="preserve">Medical Insurance at time of admission </t>
  </si>
  <si>
    <t xml:space="preserve">NOTE SECTION </t>
  </si>
  <si>
    <t xml:space="preserve">DATE  of Referral to MAT (MM/DD/YYYY)(will auto populate ) </t>
  </si>
  <si>
    <t>Date of Admission to MAT (MM/DD/YYYY) (will auto populate)</t>
  </si>
  <si>
    <t>Housing</t>
  </si>
  <si>
    <t>Employment</t>
  </si>
  <si>
    <t>Educational</t>
  </si>
  <si>
    <t>Medical</t>
  </si>
  <si>
    <t>MH Counseling</t>
  </si>
  <si>
    <t>Childcare</t>
  </si>
  <si>
    <t>Transportation</t>
  </si>
  <si>
    <t>Support Groups</t>
  </si>
  <si>
    <t>Peer Recovery Services</t>
  </si>
  <si>
    <t>HIV Testing</t>
  </si>
  <si>
    <t>Hepatitis B Testing</t>
  </si>
  <si>
    <t>Hepatitis C testing</t>
  </si>
  <si>
    <t xml:space="preserve">Other (Specify In Column T) </t>
  </si>
  <si>
    <t xml:space="preserve">Note Section for Column S </t>
  </si>
  <si>
    <t xml:space="preserve">Other (Specify In Column V) </t>
  </si>
  <si>
    <t>Note Section for Column U</t>
  </si>
  <si>
    <t xml:space="preserve">4b) Other Services </t>
  </si>
  <si>
    <t xml:space="preserve">5b) FOLLOW-UP GPRA </t>
  </si>
  <si>
    <t>RESOURCES</t>
  </si>
  <si>
    <t>Offered</t>
  </si>
  <si>
    <t xml:space="preserve">Referred </t>
  </si>
  <si>
    <t xml:space="preserve">Both </t>
  </si>
  <si>
    <t xml:space="preserve">Date Baby was born </t>
  </si>
  <si>
    <t>NOTE     SECTION FOR COLUMN J</t>
  </si>
  <si>
    <t xml:space="preserve">30  Days                                                                              # Other: Specify in Column K Note Section </t>
  </si>
  <si>
    <t xml:space="preserve">60 Days                               Other: Specify in Column P Note Section </t>
  </si>
  <si>
    <t xml:space="preserve">90 Days                   Other: Specify in Column U Note Section </t>
  </si>
  <si>
    <t xml:space="preserve">6 mo                                                            Other: Specify in Column Z Note Section </t>
  </si>
  <si>
    <t>NOTE     SECTION FOR COLUMN Y</t>
  </si>
  <si>
    <t>NOTE     SECTION FOR COLUMN T</t>
  </si>
  <si>
    <t>NOTE     SECTION FOR COLUMN O</t>
  </si>
  <si>
    <t>Contact Phone(s):</t>
  </si>
  <si>
    <t>60 DAYS from service onset (Date will auto populate)</t>
  </si>
  <si>
    <t>90 DAYS from service onset (Date will auto populate)</t>
  </si>
  <si>
    <t>6 MONTHS  from service onset (Date will auto populate)</t>
  </si>
  <si>
    <t>1 YEAR from service onset (Date will auto populate)</t>
  </si>
  <si>
    <t>30 DAYS from service onset (Date will auto populate)</t>
  </si>
  <si>
    <t>30 DAYS from service onset(Date will auto populate)</t>
  </si>
  <si>
    <t>NOTE SECTION FOR COLUMN T</t>
  </si>
  <si>
    <t xml:space="preserve">NOTE SECTION FOR COLUMN O </t>
  </si>
  <si>
    <t>NOTE SECTION FOR COLUMN AE</t>
  </si>
  <si>
    <t xml:space="preserve">1 yr                                                                                                    Other: Specify in  Column AF  Note Section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</si>
  <si>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</si>
  <si>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</si>
  <si>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</si>
  <si>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</si>
  <si>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</si>
  <si>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</si>
  <si>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</si>
  <si>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</si>
  <si>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</si>
  <si>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Detoxification Services (residential)</t>
  </si>
  <si>
    <t>Within 2 days of assessment</t>
  </si>
  <si>
    <t>Buprenorphine Implant</t>
  </si>
  <si>
    <t>Education</t>
  </si>
  <si>
    <t>Substance Use Residential Services</t>
  </si>
  <si>
    <t>3 - 6 days of assessment</t>
  </si>
  <si>
    <t>Naltrexone - Oral</t>
  </si>
  <si>
    <t>Correctional Detention Facilities</t>
  </si>
  <si>
    <t>Naltrexone - Injectable</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</si>
  <si>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</si>
  <si>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</si>
  <si>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</si>
  <si>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</si>
  <si>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</si>
  <si>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</si>
  <si>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</si>
  <si>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</si>
  <si>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</si>
  <si>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Clinlically Managed Population-Specific High-Intensity Residential Services</t>
  </si>
  <si>
    <t>Residential / Rehabilitation</t>
  </si>
  <si>
    <t>3.5:  Clinically Managed High Intensity Residential Services</t>
  </si>
  <si>
    <t>Detox - Hospital Inpatient</t>
  </si>
  <si>
    <t>3.7: Medically Monred Intensive Inpatient Serivces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</si>
  <si>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</si>
  <si>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</si>
  <si>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</si>
  <si>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</si>
  <si>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</si>
  <si>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</si>
  <si>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</si>
  <si>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</si>
  <si>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No Insurance</t>
  </si>
  <si>
    <t>Residential SA TX</t>
  </si>
  <si>
    <t>N/A</t>
  </si>
  <si>
    <t>employed</t>
  </si>
  <si>
    <t>Not in Labor Force</t>
  </si>
  <si>
    <t xml:space="preserve">Not Available </t>
  </si>
  <si>
    <t xml:space="preserve">Veterans </t>
  </si>
  <si>
    <r>
      <t xml:space="preserve">Name of Program </t>
    </r>
    <r>
      <rPr>
        <sz val="8"/>
        <rFont val="Calibri"/>
        <family val="2"/>
        <scheme val="minor"/>
      </rPr>
      <t>(given by Grantee):;</t>
    </r>
  </si>
  <si>
    <r>
      <rPr>
        <b/>
        <sz val="11"/>
        <rFont val="Calibri"/>
        <family val="2"/>
        <scheme val="minor"/>
      </rPr>
      <t xml:space="preserve">Month Being Reported </t>
    </r>
    <r>
      <rPr>
        <sz val="8"/>
        <rFont val="Calibri"/>
        <family val="2"/>
        <scheme val="minor"/>
      </rPr>
      <t>(Month/Year)</t>
    </r>
    <r>
      <rPr>
        <sz val="11"/>
        <rFont val="Calibri"/>
        <family val="2"/>
        <scheme val="minor"/>
      </rPr>
      <t>:</t>
    </r>
  </si>
  <si>
    <t xml:space="preserve">1a) GRANTEE - PROGRAM INFORMATION:   (Any changes will need to be made on 1BASE GRANTEE INFO &amp; UPDATES Tab) </t>
  </si>
  <si>
    <t xml:space="preserve">2a) GRANTEE - PROGRAM INFORMATION:  (Any changes will need to be made on 1BASE GRANTEE INFO &amp; UPDATES Tab) </t>
  </si>
  <si>
    <t xml:space="preserve">5a) GRANTEE - PROGRAM INFORMATION:   (Any changes will need to be made on 1BASE GRANTEE INFO &amp; UPDATES Tab) </t>
  </si>
  <si>
    <t xml:space="preserve">NALOXONE DISTRIBUTION                                                                               (Does not necessarily have to tie to training)  </t>
  </si>
  <si>
    <t xml:space="preserve">OVERDOSE REVERSALS                                                                                                                                                                       (Does not necessarily have to tie to training)  </t>
  </si>
  <si>
    <t>Date of Naloxone Distribution</t>
  </si>
  <si>
    <t xml:space="preserve">Total # of Naloxone overdose reversal kits distributed </t>
  </si>
  <si>
    <t>Location(s) Naloxone Kits Distributed  (include city, county)</t>
  </si>
  <si>
    <t>Naloxone Kits funded wholly or in part by SOR</t>
  </si>
  <si>
    <t>Date Aware of Overdose Reversals</t>
  </si>
  <si>
    <t xml:space="preserve">Number of Overdose Reversals                    </t>
  </si>
  <si>
    <t>Hospital Inpatient TX</t>
  </si>
  <si>
    <t xml:space="preserve">Detoxification -  Hospital Withdrawal Mgt </t>
  </si>
  <si>
    <t>Detoxification -  Residential Withdrawal Mgt</t>
  </si>
  <si>
    <t xml:space="preserve">Note Section for Column E </t>
  </si>
  <si>
    <t xml:space="preserve">Referral Source for Admission (If other is selected specify in Column F) </t>
  </si>
  <si>
    <t xml:space="preserve">1BASE GRANTEE INFO &amp; UPDATES </t>
  </si>
  <si>
    <t xml:space="preserve">2DEMOGRAPHICS </t>
  </si>
  <si>
    <t xml:space="preserve">3Medication Assisted TX </t>
  </si>
  <si>
    <t xml:space="preserve">4Other Services </t>
  </si>
  <si>
    <t xml:space="preserve">7Evidence Based Training </t>
  </si>
  <si>
    <t xml:space="preserve">8Naloxone Distribution </t>
  </si>
  <si>
    <r>
      <t xml:space="preserve">Program Code: </t>
    </r>
    <r>
      <rPr>
        <sz val="8"/>
        <rFont val="Calibri"/>
        <family val="2"/>
        <scheme val="minor"/>
      </rPr>
      <t xml:space="preserve">(located on TFB or SOW) </t>
    </r>
  </si>
  <si>
    <t xml:space="preserve">7a)  Grantee - Program Information  (Any changes will need to be made on 1BASE GRANTEE INFO &amp; UPDATES Tab) </t>
  </si>
  <si>
    <t xml:space="preserve">Other (Describe inColumn T Note Section) </t>
  </si>
  <si>
    <t xml:space="preserve">Other (Describe in Column AD Note Section) </t>
  </si>
  <si>
    <t xml:space="preserve">Number of Staff Funded by the Grant </t>
  </si>
  <si>
    <t>STAFF</t>
  </si>
  <si>
    <t>Employed</t>
  </si>
  <si>
    <t xml:space="preserve">ETHNICITY </t>
  </si>
  <si>
    <t xml:space="preserve">More than One Race Reported </t>
  </si>
  <si>
    <t xml:space="preserve">Unknown </t>
  </si>
  <si>
    <t xml:space="preserve">TOTAL </t>
  </si>
  <si>
    <t>Hispanic or Latino</t>
  </si>
  <si>
    <t>13-17</t>
  </si>
  <si>
    <t>18-20</t>
  </si>
  <si>
    <t>21-24</t>
  </si>
  <si>
    <t>TOTAL</t>
  </si>
  <si>
    <t xml:space="preserve">Black or African American </t>
  </si>
  <si>
    <t xml:space="preserve">American Indian / Alaska Native </t>
  </si>
  <si>
    <t>0-12</t>
  </si>
  <si>
    <t xml:space="preserve">AGE - NON PREGNANT CLIENTS </t>
  </si>
  <si>
    <t>25-34</t>
  </si>
  <si>
    <t>35-44</t>
  </si>
  <si>
    <t>45-54</t>
  </si>
  <si>
    <t>55-64</t>
  </si>
  <si>
    <t>65 -74</t>
  </si>
  <si>
    <t xml:space="preserve">75 and older </t>
  </si>
  <si>
    <t xml:space="preserve">TOTAL - NON PREGNANT CLIENTS </t>
  </si>
  <si>
    <t xml:space="preserve">AGE - PREGNANT CLIENTS </t>
  </si>
  <si>
    <t xml:space="preserve">6a)  Grantee - Program Information  (Any changes will need to be made on 1BASE GRANTEE INFO &amp; UPDATES Tab) </t>
  </si>
  <si>
    <t>6b) Evidence Based Training</t>
  </si>
  <si>
    <t>7b) Naloxone Kits Distributed</t>
  </si>
  <si>
    <t xml:space="preserve">8a) GRANTEE - PROGRAM INFORMATION:  (Any changes will need to be made on 1BASE GRANTEE INFO &amp; UPDATES Tab) </t>
  </si>
  <si>
    <t>8b) SUMMARY</t>
  </si>
  <si>
    <t>Involved in Criminal Justice System at time of Admission</t>
  </si>
  <si>
    <t>Occupational  or Student Status at time of referral - Healthcare Industry</t>
  </si>
  <si>
    <t>Occupational  or Student Status at time of referral - Arts and Entertainment</t>
  </si>
  <si>
    <t>Occupational  or Student Status at time of referral - Business Management - Sales</t>
  </si>
  <si>
    <t xml:space="preserve">Occupational  or Student Status at time of referral -Mining Industry </t>
  </si>
  <si>
    <t>Occupational  or Student Status at time of referral - Hospitality and Food Service</t>
  </si>
  <si>
    <t>Occupational  or Student Status at time of referral - Unemployed</t>
  </si>
  <si>
    <t xml:space="preserve">Occupational  or Student Status at time of referral - Student </t>
  </si>
  <si>
    <t xml:space="preserve">Occupational  or Student Status at time of referral - Other (specify in Notes) </t>
  </si>
  <si>
    <t>Occupational Student Status</t>
  </si>
  <si>
    <t xml:space="preserve">Left Employment </t>
  </si>
  <si>
    <t>Demographics - Miscellaneous</t>
  </si>
  <si>
    <t>AGE -</t>
  </si>
  <si>
    <t>75 &gt;</t>
  </si>
  <si>
    <t>Total</t>
  </si>
  <si>
    <t>TG</t>
  </si>
  <si>
    <t xml:space="preserve">TOTAL - PREGNANT CLIENTS </t>
  </si>
  <si>
    <t xml:space="preserve">TOTAL NON PREGNANT AND PREGNANT CLIENTS </t>
  </si>
  <si>
    <t>PREGNANT CLIENTS                                                                                        PREGNANT CLIENTS                                                                     PREGNANT CLIENTS                                                                      PREGNANT CLIENTS</t>
  </si>
  <si>
    <t>NON - PREGNANT CLIENTS                                                 NON - PREGNANT CLIENTS                                                                            NON - PREGNANT CLIENTS                                                       NON - PREGNANT CLIENTS</t>
  </si>
  <si>
    <t>African American / Black</t>
  </si>
  <si>
    <t xml:space="preserve">DATE  of Referral to Program (MM/DD/YYYY)(will auto populate to other tabs) </t>
  </si>
  <si>
    <t xml:space="preserve">DATE  of Referral to Program (MM/DD/YYYY)(will auto populate ) </t>
  </si>
  <si>
    <t>Date of Admission to Program (MM/DD/YYYY) (will auto populate)</t>
  </si>
  <si>
    <t xml:space="preserve">Span from Referral to when started Program </t>
  </si>
  <si>
    <t>Was client Discharged</t>
  </si>
  <si>
    <t>Date of Discharge</t>
  </si>
  <si>
    <t xml:space="preserve">Reason for Discharge </t>
  </si>
  <si>
    <t xml:space="preserve">Discharged to: (Physical location and proposed services) </t>
  </si>
  <si>
    <t xml:space="preserve">Withdrew from / DECLINED </t>
  </si>
  <si>
    <t>Discharge Criteria</t>
  </si>
  <si>
    <t xml:space="preserve">mutually agreed cessation </t>
  </si>
  <si>
    <t>parallel</t>
  </si>
  <si>
    <t xml:space="preserve">Referred to an  equivalent program  </t>
  </si>
  <si>
    <t>3.3: Clinically Managed Population-Specific High-Intensity Residential Services</t>
  </si>
  <si>
    <t>3.7: Medically Monitored Intensive Inpatient Services</t>
  </si>
  <si>
    <t>Compliant with SAMHSA Prohibition of the USE of SOR funding for Opioid Detox.                                                                  If no go to Column Q</t>
  </si>
  <si>
    <t>Note Section for Column N</t>
  </si>
  <si>
    <t xml:space="preserve">DATE  of Referral to Program (will auto populate ) </t>
  </si>
  <si>
    <t xml:space="preserve">Was Assessment Completed at time of Admission (Intake)?  If no Specify why in Column I note section </t>
  </si>
  <si>
    <t>NOTE SECTION FOR COLUMN H</t>
  </si>
  <si>
    <t>ASAM LEVEL OF CARE - If other is selected specify in Column M</t>
  </si>
  <si>
    <t>NOTE SECTION FOR COLUMN L</t>
  </si>
  <si>
    <t>Date of Admission to Program (will auto populate)</t>
  </si>
  <si>
    <t>Date of Admission to Program  (will auto populate)</t>
  </si>
  <si>
    <t xml:space="preserve">Other (Specify        In Column V) </t>
  </si>
  <si>
    <t xml:space="preserve">COUNTY                       A - J </t>
  </si>
  <si>
    <t xml:space="preserve">COUNTY                    K - O </t>
  </si>
  <si>
    <t>COUNTY                   P-W &amp; OOS</t>
  </si>
  <si>
    <t xml:space="preserve">Peer Recovery Support Specialist </t>
  </si>
  <si>
    <t>Initials of Peer Support Staff Assigned to Resident needs to match initials in 1BASE GRANTEE INFO AND UPDATES tab</t>
  </si>
  <si>
    <t xml:space="preserve">Date Resident Provided with a full orientation to the Program </t>
  </si>
  <si>
    <t xml:space="preserve">Date Individualized Recovery Plan completed </t>
  </si>
  <si>
    <t xml:space="preserve">DATE  of Referral to Program  (will auto populate to other tabs) </t>
  </si>
  <si>
    <t xml:space="preserve">Date of Admission to Program (will auto populate to other tabs) </t>
  </si>
  <si>
    <t>30 DAYS BEFORE ADMISSION  (Use numeral (1) if applicable)</t>
  </si>
  <si>
    <t>POST 30 DAYS AFTER DISCHARGE   (Use numeral (1) if applicable)</t>
  </si>
  <si>
    <r>
      <rPr>
        <b/>
        <sz val="10"/>
        <color rgb="FF0070C0"/>
        <rFont val="Calibri"/>
        <family val="2"/>
        <scheme val="minor"/>
      </rPr>
      <t xml:space="preserve">Date of Admission </t>
    </r>
    <r>
      <rPr>
        <b/>
        <sz val="8"/>
        <color rgb="FF0070C0"/>
        <rFont val="Calibri"/>
        <family val="2"/>
        <scheme val="minor"/>
      </rPr>
      <t>(will auto populate)                              00/00/0000</t>
    </r>
  </si>
  <si>
    <r>
      <rPr>
        <sz val="8"/>
        <rFont val="Calibri"/>
        <family val="2"/>
        <scheme val="minor"/>
      </rPr>
      <t>Employment</t>
    </r>
    <r>
      <rPr>
        <sz val="6"/>
        <rFont val="Calibri"/>
        <family val="2"/>
        <scheme val="minor"/>
      </rPr>
      <t xml:space="preserve">  (use numeral (1) if applicable)</t>
    </r>
  </si>
  <si>
    <r>
      <t xml:space="preserve">Student </t>
    </r>
    <r>
      <rPr>
        <sz val="6"/>
        <rFont val="Calibri"/>
        <family val="2"/>
        <scheme val="minor"/>
      </rPr>
      <t>(use numeral (1) if applicable)</t>
    </r>
  </si>
  <si>
    <r>
      <t xml:space="preserve">Stable Living Situation </t>
    </r>
    <r>
      <rPr>
        <sz val="6"/>
        <rFont val="Calibri"/>
        <family val="2"/>
        <scheme val="minor"/>
      </rPr>
      <t>(use numeral (1) if applicable)</t>
    </r>
  </si>
  <si>
    <r>
      <t>LEGAL - Arrest</t>
    </r>
    <r>
      <rPr>
        <sz val="6"/>
        <rFont val="Calibri"/>
        <family val="2"/>
        <scheme val="minor"/>
      </rPr>
      <t xml:space="preserve"> (use numeral (1) if applicable)</t>
    </r>
  </si>
  <si>
    <r>
      <t xml:space="preserve">Alcohol Use </t>
    </r>
    <r>
      <rPr>
        <sz val="6"/>
        <rFont val="Calibri"/>
        <family val="2"/>
        <scheme val="minor"/>
      </rPr>
      <t>(use numeral (1) if applicable)</t>
    </r>
  </si>
  <si>
    <r>
      <t xml:space="preserve">Illegal drugs used </t>
    </r>
    <r>
      <rPr>
        <sz val="6"/>
        <rFont val="Calibri"/>
        <family val="2"/>
        <scheme val="minor"/>
      </rPr>
      <t>(use numeral (1) if applicable)</t>
    </r>
  </si>
  <si>
    <r>
      <t xml:space="preserve">self-help groups (AA, NA, etc.) </t>
    </r>
    <r>
      <rPr>
        <sz val="6"/>
        <rFont val="Calibri"/>
        <family val="2"/>
        <scheme val="minor"/>
      </rPr>
      <t>(use numeral (1) if applicable)</t>
    </r>
  </si>
  <si>
    <t>00/00/0000</t>
  </si>
  <si>
    <t>Evidence Based Training (EBT)</t>
  </si>
  <si>
    <t xml:space="preserve">Type of Training </t>
  </si>
  <si>
    <t xml:space="preserve">Note Section for Column C </t>
  </si>
  <si>
    <t>Telehealth Services</t>
  </si>
  <si>
    <t>Peer Recovery Support</t>
  </si>
  <si>
    <t xml:space="preserve">Other (Specify in Note Section) </t>
  </si>
  <si>
    <t xml:space="preserve">5b) FOLLOW-UP OUD Meth </t>
  </si>
  <si>
    <t>Type of Contact , If other Specify in Column I</t>
  </si>
  <si>
    <t>Notes for Column H</t>
  </si>
  <si>
    <t>Type of Contact, if other Specify in Column N</t>
  </si>
  <si>
    <t>Notes for Column M</t>
  </si>
  <si>
    <t>Type of Contact , If other Specify in Column S</t>
  </si>
  <si>
    <t xml:space="preserve">Type of Contact , If other Specify in Column S </t>
  </si>
  <si>
    <t>Notes for Column R</t>
  </si>
  <si>
    <t>Type of Contact , If other Specify in Column X</t>
  </si>
  <si>
    <t>Notes for Column W</t>
  </si>
  <si>
    <t>Type of Contact , If other Specify in Column AC</t>
  </si>
  <si>
    <t>Notes for Column AB</t>
  </si>
  <si>
    <t># Attending / Participating</t>
  </si>
  <si>
    <t>Credentials of Person(s) Providing / Leading  Activity</t>
  </si>
  <si>
    <t>Activity</t>
  </si>
  <si>
    <t>Meeting</t>
  </si>
  <si>
    <t xml:space="preserve">Event </t>
  </si>
  <si>
    <r>
      <t xml:space="preserve">Date of Activity </t>
    </r>
    <r>
      <rPr>
        <b/>
        <sz val="8"/>
        <color theme="1"/>
        <rFont val="Calibri"/>
        <family val="2"/>
        <scheme val="minor"/>
      </rPr>
      <t>00/00/0000</t>
    </r>
  </si>
  <si>
    <t>Name of Activity</t>
  </si>
  <si>
    <t xml:space="preserve">Purpose of Activity </t>
  </si>
  <si>
    <t>Entity  Providing/Leading  Activity</t>
  </si>
  <si>
    <t xml:space="preserve">Person(s) Providing / Leading Activity </t>
  </si>
  <si>
    <t>Location of Activity (City/County)</t>
  </si>
  <si>
    <t xml:space="preserve">System(s) - Organization(s) Represented at the Activity </t>
  </si>
  <si>
    <t xml:space="preserve">Was Activity done to fulfil the SOW (YES/NO) </t>
  </si>
  <si>
    <t>Type of Activity, Meeting, Event</t>
  </si>
  <si>
    <t xml:space="preserve">Was Activity funded or partially funded by Grant </t>
  </si>
  <si>
    <t>Was Activity / Event / Meeting  Funded wholly or in part by SOR funds? (YES/NO)</t>
  </si>
  <si>
    <t xml:space="preserve">Was Activity / Event / Meeting  done to fulfil the SOW (YES/NO) </t>
  </si>
  <si>
    <t>Was Training Funded wholly or in part by Grant funds? (YES/NO)</t>
  </si>
  <si>
    <t>5b)National Outcome Measures (NOMS)</t>
  </si>
  <si>
    <t>CLIENT INFORMATION</t>
  </si>
  <si>
    <t>No, not of Hispanic, Latino/a, or Spanish origin</t>
  </si>
  <si>
    <t>Declined</t>
  </si>
  <si>
    <t>Don't Know</t>
  </si>
  <si>
    <t xml:space="preserve">ETHNICITY - GPRA </t>
  </si>
  <si>
    <t>GENDER GPRA</t>
  </si>
  <si>
    <t>Black or African American</t>
  </si>
  <si>
    <t>American Indian</t>
  </si>
  <si>
    <t>Alaska Native</t>
  </si>
  <si>
    <t xml:space="preserve">Yes,  Hispanic, Latino, or Spanish origin </t>
  </si>
  <si>
    <t xml:space="preserve">Race - GPRA </t>
  </si>
  <si>
    <t>DX - Opioid Use Disorder</t>
  </si>
  <si>
    <t>DX - Stimulant Disorder</t>
  </si>
  <si>
    <t xml:space="preserve">DX - Mental Health </t>
  </si>
  <si>
    <t xml:space="preserve">Living Situation </t>
  </si>
  <si>
    <t>Full Time</t>
  </si>
  <si>
    <t xml:space="preserve">Part Time </t>
  </si>
  <si>
    <t>Not Employed</t>
  </si>
  <si>
    <t>Part Time</t>
  </si>
  <si>
    <t xml:space="preserve">Not a Student </t>
  </si>
  <si>
    <t>Employment Status</t>
  </si>
  <si>
    <t xml:space="preserve">Student / Training Program Status </t>
  </si>
  <si>
    <t xml:space="preserve">DX Co-Occurring </t>
  </si>
  <si>
    <t xml:space="preserve">DX - Vaping </t>
  </si>
  <si>
    <t xml:space="preserve">Indicate by a "X" </t>
  </si>
  <si>
    <t>yes</t>
  </si>
  <si>
    <t>no</t>
  </si>
  <si>
    <t>refused</t>
  </si>
  <si>
    <t xml:space="preserve">unable to contact </t>
  </si>
  <si>
    <t xml:space="preserve">OUTCOME </t>
  </si>
  <si>
    <t>OUTCOME</t>
  </si>
  <si>
    <t>Sucessful Face to Face</t>
  </si>
  <si>
    <t>Sucessful Telehealth</t>
  </si>
  <si>
    <t xml:space="preserve">Sucessful Telephone </t>
  </si>
  <si>
    <t xml:space="preserve">Sucessful Virtual </t>
  </si>
  <si>
    <t xml:space="preserve">Not Sucessful </t>
  </si>
  <si>
    <t xml:space="preserve">FOLLOW-UP </t>
  </si>
  <si>
    <t>FOLLOW-UP</t>
  </si>
  <si>
    <t>HOUSING</t>
  </si>
  <si>
    <t>EMPLOYMENT</t>
  </si>
  <si>
    <t>EDUCATIONAL</t>
  </si>
  <si>
    <t>MEDICAL</t>
  </si>
  <si>
    <t>MH COUNSELING</t>
  </si>
  <si>
    <t>CHILDCARE</t>
  </si>
  <si>
    <t>TRANSPORTATION</t>
  </si>
  <si>
    <t>SUPPORT GROUPS</t>
  </si>
  <si>
    <t xml:space="preserve">Peer Recovery </t>
  </si>
  <si>
    <t>Hepatitis C Testing</t>
  </si>
  <si>
    <t xml:space="preserve">4a) GRANTEE - PROGRAM INFORMOUDION:   (Any changes will need to be made on 1BASE GRANTEE INFO &amp; UPDATES Tab) </t>
  </si>
  <si>
    <t>Successful Face to Face</t>
  </si>
  <si>
    <t>Successful Telehealth</t>
  </si>
  <si>
    <t xml:space="preserve">Successful Telephone </t>
  </si>
  <si>
    <t xml:space="preserve">Successful Virtual </t>
  </si>
  <si>
    <t xml:space="preserve">Not Successful </t>
  </si>
  <si>
    <t>3b) Medication for Opioid Use Disorder (MOUD)</t>
  </si>
  <si>
    <t xml:space="preserve">Type of FDA approved MOUD Utilized by Client (Choose One, if Change MOUD type is selected explain in Column O Note Section) </t>
  </si>
  <si>
    <t xml:space="preserve">Client  on MOUD at time of admission to program </t>
  </si>
  <si>
    <t xml:space="preserve"> Client referred for MOUD at admission or during stay at program  </t>
  </si>
  <si>
    <t>admitted to MOUD while in program</t>
  </si>
  <si>
    <t xml:space="preserve"> remained on the following MOUD during stay in program </t>
  </si>
  <si>
    <t xml:space="preserve">Date  Started MOUD </t>
  </si>
  <si>
    <t xml:space="preserve">3a) GRANTEE - PROGRAM INFORMOUDION:   (Any changes will need to be made on 1BASE GRANTEE INFO &amp; UPDATES Tab) </t>
  </si>
  <si>
    <t xml:space="preserve">Changed MOUD Type (Explain in Notes) </t>
  </si>
  <si>
    <t xml:space="preserve">Date of Contact: 30 days after MOUD Service Onset </t>
  </si>
  <si>
    <t xml:space="preserve">DUE DATE: 60 days after MOUD Service Onset </t>
  </si>
  <si>
    <t xml:space="preserve">Receiving MOUD Services 60 days after MOUD Service Onset </t>
  </si>
  <si>
    <t xml:space="preserve">DUE DATE:  30 days after MOUD Service Onset </t>
  </si>
  <si>
    <t xml:space="preserve">Receiving MOUD Services 30 days after MOUD Service Onset </t>
  </si>
  <si>
    <t xml:space="preserve">Date of Contact: 60 days after MOUD Service Onset </t>
  </si>
  <si>
    <t xml:space="preserve">DUE DATE: 90 days after MOUD Service Onset </t>
  </si>
  <si>
    <t xml:space="preserve">Date of Contact: 90 days after MOUD Service Onset </t>
  </si>
  <si>
    <t xml:space="preserve">Receiving MOUD Services 90 days after MOUD Service Onset </t>
  </si>
  <si>
    <t xml:space="preserve">DUE DATE: 6 Months after MOUD Service Onset </t>
  </si>
  <si>
    <t xml:space="preserve">Date of Contact: 6 Months after MOUD Service Onset </t>
  </si>
  <si>
    <t xml:space="preserve">Receiving MOUD Services 6 Months after MOUD Service Onset </t>
  </si>
  <si>
    <t xml:space="preserve">DUE DATE: 1 year after MOUD Service Onset </t>
  </si>
  <si>
    <t xml:space="preserve">Date of Contact: 1 year after MOUD Service Onset </t>
  </si>
  <si>
    <t xml:space="preserve">Receiving MOUD Services 1 year after MOUD Service Onset </t>
  </si>
  <si>
    <t xml:space="preserve">5a) GRANTEE - PROGRAM INFORMOUDION:   (Any changes will need to be made on 1BASE GRANTEE INFO &amp; UPDATES Tab) </t>
  </si>
  <si>
    <t xml:space="preserve">OPIOID USE DISORDER </t>
  </si>
  <si>
    <t xml:space="preserve">STIMULANT USE DISORDER </t>
  </si>
  <si>
    <t xml:space="preserve">Receiving Contingency Management at time of admission </t>
  </si>
  <si>
    <t xml:space="preserve"> Client referred for Contingency Management at admission or during stay at program  </t>
  </si>
  <si>
    <t>admitted to Contingency Management while in program</t>
  </si>
  <si>
    <t xml:space="preserve"> remained on the following Contingency Management during stay in program </t>
  </si>
  <si>
    <t xml:space="preserve">Date  Started Contingency Management </t>
  </si>
  <si>
    <t xml:space="preserve">GPRA COMPLETED AT 90 Days </t>
  </si>
  <si>
    <t>GPRA COMPLETED AT 6 Months</t>
  </si>
  <si>
    <r>
      <t xml:space="preserve">This form is designed to be used for the </t>
    </r>
    <r>
      <rPr>
        <b/>
        <u val="double"/>
        <sz val="20"/>
        <color theme="0"/>
        <rFont val="Calibri"/>
        <family val="2"/>
        <scheme val="minor"/>
      </rPr>
      <t>entire</t>
    </r>
    <r>
      <rPr>
        <b/>
        <sz val="20"/>
        <color theme="0"/>
        <rFont val="Calibri"/>
        <family val="2"/>
        <scheme val="minor"/>
      </rPr>
      <t xml:space="preserve"> fiscal year.                                                                                                                                                                                                                                                                                                                                                                                                                                                                                                                                                                                                                                                   </t>
    </r>
  </si>
  <si>
    <t>Please note:  "Month Being Reported" is from 1st -30th (or 31st) of each month.  The report for the "Month Being Reported" is due by the 25th of the following month. Examples:</t>
  </si>
  <si>
    <t>due August 25</t>
  </si>
  <si>
    <t>Oct. 1 - 31</t>
  </si>
  <si>
    <t>due Nov. 25</t>
  </si>
  <si>
    <t>Jan. 1- 31</t>
  </si>
  <si>
    <t>due Feb. 25</t>
  </si>
  <si>
    <t>due May 25</t>
  </si>
  <si>
    <t>due Sept. 25</t>
  </si>
  <si>
    <t>Nov. 1 - 30</t>
  </si>
  <si>
    <t>due Dec. 25</t>
  </si>
  <si>
    <t>Feb. 1-28 or 29</t>
  </si>
  <si>
    <t>due March 25</t>
  </si>
  <si>
    <t>due June 25</t>
  </si>
  <si>
    <t>Sept 1 - 30</t>
  </si>
  <si>
    <t>due Oct. 25</t>
  </si>
  <si>
    <t>Dec. 1 - 31</t>
  </si>
  <si>
    <t>due Jan. 25</t>
  </si>
  <si>
    <t>due April 25</t>
  </si>
  <si>
    <t>June 1-30</t>
  </si>
  <si>
    <t>due July 25</t>
  </si>
  <si>
    <r>
      <t xml:space="preserve">ALL FORMS  </t>
    </r>
    <r>
      <rPr>
        <b/>
        <u val="double"/>
        <sz val="16"/>
        <color theme="0"/>
        <rFont val="Calibri"/>
        <family val="2"/>
      </rPr>
      <t>MUST</t>
    </r>
    <r>
      <rPr>
        <b/>
        <sz val="16"/>
        <color theme="0"/>
        <rFont val="Calibri"/>
        <family val="2"/>
      </rPr>
      <t xml:space="preserve"> BE E-MAILED TO DHHRBHHReporting@wv.gov - </t>
    </r>
    <r>
      <rPr>
        <b/>
        <u/>
        <sz val="10"/>
        <color theme="0"/>
        <rFont val="Calibri"/>
        <family val="2"/>
      </rPr>
      <t>Include name of Grantee and Program Name in the subject line of the e-mail</t>
    </r>
  </si>
  <si>
    <t xml:space="preserve">1BASE GRANTEE INFO &amp; UPDATES TAB </t>
  </si>
  <si>
    <t>Line 1</t>
  </si>
  <si>
    <t xml:space="preserve">This line can be locked by going to View, Freeze Panes, Freeze Top Row;  As the Lines get longer, Grantee's have found this to be helpful in completing the form. </t>
  </si>
  <si>
    <t>Line 2</t>
  </si>
  <si>
    <t xml:space="preserve">Name of program with the version of the form; please make sure you are using the most up-to-date form.  Any changes to this information will need to be made by BBH Staff. </t>
  </si>
  <si>
    <t>Line 3</t>
  </si>
  <si>
    <t xml:space="preserve">Grantee Year:  Specifies the time span for the grant year.  Any changes to this information will need to be made by BBH Staff. </t>
  </si>
  <si>
    <t>Line 4</t>
  </si>
  <si>
    <r>
      <t xml:space="preserve">Reminder that the forms need to be submitted electronically to DHHR.BHHReporting@wv.gov.  You can  cc other individuals; however, it is </t>
    </r>
    <r>
      <rPr>
        <b/>
        <u/>
        <sz val="11"/>
        <color theme="1"/>
        <rFont val="Calibri"/>
        <family val="2"/>
        <scheme val="minor"/>
      </rPr>
      <t>critical</t>
    </r>
    <r>
      <rPr>
        <b/>
        <sz val="11"/>
        <color theme="1"/>
        <rFont val="Calibri"/>
        <family val="2"/>
        <scheme val="minor"/>
      </rPr>
      <t xml:space="preserve"> that all forms be sent to this e-mail address. Any changes to this information will need to be made by BBH Staff. </t>
    </r>
  </si>
  <si>
    <t>Line 5-9</t>
  </si>
  <si>
    <t>Grantee - Program Information: ON LINES 5 - 9 ALL INFORMATION WILL NEED TO BE ENTERED AND CHANGES MADE (INCLUDING THE DATE)  ON THE 1BASE GRANTEE SET INFO &amp; UPDATES TAB - INFORMATION WILL POPULATE TO OTHER TABS</t>
  </si>
  <si>
    <t xml:space="preserve">Lines 10 - 19:  Column B &amp; K </t>
  </si>
  <si>
    <t xml:space="preserve">Initials of Staff funded by the Grant: Initials of Staff:  The Initials will auto populate to the Evidence Based Training tab and to the Summary tab. </t>
  </si>
  <si>
    <t>Lines 10 - 19:  Column C/D &amp; L/M</t>
  </si>
  <si>
    <t>Staff funded by the Grant: Date Started Employment for the Grant; Use MM/DD/YYYY (01/01/2020) format.  If the date is not needed leave blank.  Placing other characters such as (N/A) will prevent accurate calculations to occur.</t>
  </si>
  <si>
    <t>Lines 10 - 19:  Column E/F &amp; N/O</t>
  </si>
  <si>
    <t>Staff funded by the Grant: Date Ended Employment for the Grant; Use MM/DD/YYYY (01/01/2020) format.  If the date is not needed leave blank.  Placing other characters such as (N/A) will prevent accurate calculations to occur.</t>
  </si>
  <si>
    <t>Lines 10 - 19:  Column C-Q</t>
  </si>
  <si>
    <t xml:space="preserve">NOTE SECTiON For COLUMN E </t>
  </si>
  <si>
    <t xml:space="preserve">Source of Referral </t>
  </si>
  <si>
    <t>Suicide Risk Screening Completed</t>
  </si>
  <si>
    <r>
      <rPr>
        <b/>
        <sz val="8"/>
        <color theme="1"/>
        <rFont val="Calibri"/>
        <family val="2"/>
        <scheme val="minor"/>
      </rPr>
      <t xml:space="preserve">Date Suicide Risk Screening Completed  </t>
    </r>
    <r>
      <rPr>
        <sz val="8"/>
        <color theme="1"/>
        <rFont val="Calibri"/>
        <family val="2"/>
        <scheme val="minor"/>
      </rPr>
      <t>(Month Day, Year - 00/00/0000)</t>
    </r>
  </si>
  <si>
    <t xml:space="preserve">Overdose Screening Completed </t>
  </si>
  <si>
    <r>
      <rPr>
        <b/>
        <sz val="8"/>
        <color theme="1"/>
        <rFont val="Calibri"/>
        <family val="2"/>
        <scheme val="minor"/>
      </rPr>
      <t xml:space="preserve">Date Overdose Screening Completed  </t>
    </r>
    <r>
      <rPr>
        <sz val="8"/>
        <color theme="1"/>
        <rFont val="Calibri"/>
        <family val="2"/>
        <scheme val="minor"/>
      </rPr>
      <t>(Month Day, Year - 00/00/0000)</t>
    </r>
  </si>
  <si>
    <r>
      <rPr>
        <b/>
        <sz val="8"/>
        <color theme="1"/>
        <rFont val="Calibri"/>
        <family val="2"/>
        <scheme val="minor"/>
      </rPr>
      <t xml:space="preserve">DATE Referred to TX Services   </t>
    </r>
    <r>
      <rPr>
        <sz val="8"/>
        <color theme="1"/>
        <rFont val="Calibri"/>
        <family val="2"/>
        <scheme val="minor"/>
      </rPr>
      <t>(Month Day, Year - 00/00/0000)</t>
    </r>
  </si>
  <si>
    <t xml:space="preserve">Motivational Interviewing   </t>
  </si>
  <si>
    <t xml:space="preserve">SBIRT    </t>
  </si>
  <si>
    <t xml:space="preserve">Cognitive-Behavioral Therapy (CBT)       </t>
  </si>
  <si>
    <t xml:space="preserve"> Dialectical Behavioral Therapy (DBT)    </t>
  </si>
  <si>
    <t xml:space="preserve">Contingency Management Interventions/Motivational Incentives </t>
  </si>
  <si>
    <t xml:space="preserve">Motivational Enhancement Therapy (MET)           </t>
  </si>
  <si>
    <t xml:space="preserve">The Matrix Model </t>
  </si>
  <si>
    <t xml:space="preserve">Medication-Assisted Treatment (MAT)          </t>
  </si>
  <si>
    <t xml:space="preserve">12-Step Facilitation Therapy       </t>
  </si>
  <si>
    <t xml:space="preserve">Family Behavior Therapy (FBT)     </t>
  </si>
  <si>
    <t xml:space="preserve">Seeking Safety (for Trauma/PTSD and Addiction)  </t>
  </si>
  <si>
    <t xml:space="preserve">Relapse Prevention Therapy         </t>
  </si>
  <si>
    <t xml:space="preserve">Client-Centered/Shared Decision Making          </t>
  </si>
  <si>
    <t xml:space="preserve">                   Other (List in Notes)             </t>
  </si>
  <si>
    <t xml:space="preserve">Follow up after referral to TX  or Referral to Resources Needed </t>
  </si>
  <si>
    <t>Reason for Follow-up -</t>
  </si>
  <si>
    <r>
      <rPr>
        <b/>
        <sz val="11"/>
        <color theme="1"/>
        <rFont val="Calibri"/>
        <family val="2"/>
        <scheme val="minor"/>
      </rPr>
      <t xml:space="preserve">DATE of Follow up   </t>
    </r>
    <r>
      <rPr>
        <sz val="8"/>
        <color theme="1"/>
        <rFont val="Calibri"/>
        <family val="2"/>
        <scheme val="minor"/>
      </rPr>
      <t>(Month Day, Year - 00/00/0000)</t>
    </r>
  </si>
  <si>
    <t xml:space="preserve">Outcome of Follow-up </t>
  </si>
  <si>
    <t xml:space="preserve">OTHER (Specify In Column AR) </t>
  </si>
  <si>
    <t xml:space="preserve">OTHER (Specify In Column AV) </t>
  </si>
  <si>
    <t>DISCHARGE</t>
  </si>
  <si>
    <t xml:space="preserve">USE TX LISTED IN SOW </t>
  </si>
  <si>
    <t xml:space="preserve">Referred for MOUD, OUD, Other TX Services (specify in Notes), or a combination  </t>
  </si>
  <si>
    <r>
      <t>NUMBER OF</t>
    </r>
    <r>
      <rPr>
        <b/>
        <sz val="10"/>
        <color theme="7" tint="-0.499984740745262"/>
        <rFont val="Calibri"/>
        <family val="2"/>
        <scheme val="minor"/>
      </rPr>
      <t xml:space="preserve"> INTERNAL STAFF</t>
    </r>
    <r>
      <rPr>
        <b/>
        <sz val="10"/>
        <color rgb="FFFF0000"/>
        <rFont val="Calibri"/>
        <family val="2"/>
        <scheme val="minor"/>
      </rPr>
      <t xml:space="preserve"> (FUNDED BY SOR GRANT</t>
    </r>
    <r>
      <rPr>
        <sz val="10"/>
        <color rgb="FFFF0000"/>
        <rFont val="Calibri"/>
        <family val="2"/>
        <scheme val="minor"/>
      </rPr>
      <t>)</t>
    </r>
    <r>
      <rPr>
        <sz val="10"/>
        <color theme="7" tint="-0.499984740745262"/>
        <rFont val="Calibri"/>
        <family val="2"/>
        <scheme val="minor"/>
      </rPr>
      <t xml:space="preserve"> PARTICIPATING - </t>
    </r>
    <r>
      <rPr>
        <sz val="10"/>
        <rFont val="Calibri"/>
        <family val="2"/>
        <scheme val="minor"/>
      </rPr>
      <t xml:space="preserve">IF MORE THAN 10 STAFF WILL NEED TO ADD MORE COLUMNS </t>
    </r>
  </si>
  <si>
    <t xml:space="preserve">if more than 10 staff will need to add more columns </t>
  </si>
  <si>
    <t xml:space="preserve">FAST will increase access to MAT using the 3 FDA-approved medications for OUD
treatment by adding two SUD/OUD therapists to provide new MAT services in Summers &amp;
Monroe counties and expanded MAT services in Raleigh and Fayette. </t>
  </si>
  <si>
    <t>MARCH</t>
  </si>
  <si>
    <t>APRIL</t>
  </si>
  <si>
    <t>AUGUST</t>
  </si>
  <si>
    <t>SEPTEMBER</t>
  </si>
  <si>
    <t>JANUARY</t>
  </si>
  <si>
    <t>FEBRUARY</t>
  </si>
  <si>
    <t>DECEMBER</t>
  </si>
  <si>
    <t xml:space="preserve">NOVEMBER </t>
  </si>
  <si>
    <t>OCTOBER</t>
  </si>
  <si>
    <t>2b) PROGRAM PROGRESS</t>
  </si>
  <si>
    <t xml:space="preserve">2a) 8a) GRANTEE - PROGRAM INFORMATION:  (Any changes will need to be made on 1BASE GRANTEE INFO &amp; UPDATES Tab) </t>
  </si>
  <si>
    <t>FAST will reduce unmet treatment need by reaching out into the community for
referrals via the SUD CIS. The SUD Liaison will track referrals.</t>
  </si>
  <si>
    <t>FAST will hire a SUD Community Information Specialist (CIS) who will work to reduce opioid related deaths by educating &amp; empowering the community to refer individuals with OUD to FAST</t>
  </si>
  <si>
    <t xml:space="preserve">FAST will reduce opioid overdose related deaths through prevention, treatment, &amp;
recovery activities for OUD. The SUD CIS will empower the community to identify OUD and
engage with individuals so that referrals can be made and treatment accessed as early as possible. </t>
  </si>
  <si>
    <t>The CIS will train the community &amp; SUD/OUD individuals about Narcan &amp; harm reduction.
When referrals are made to FAST, clients can access the full array of services across Region 6.</t>
  </si>
  <si>
    <t xml:space="preserve"> number &amp; location of MAT providers, </t>
  </si>
  <si>
    <t>GPRA completion rates,</t>
  </si>
  <si>
    <t>number &amp; purpose of the MOUs executed &amp; procured</t>
  </si>
  <si>
    <t>operational procedures in support of
client retention/engagement &amp; the number</t>
  </si>
  <si>
    <t xml:space="preserve">Sustainability </t>
  </si>
  <si>
    <t xml:space="preserve">3b) Other Services </t>
  </si>
  <si>
    <t>Date Screening Completed</t>
  </si>
  <si>
    <t>Southern Highlands is partnering with another CBHC on a SAMHSA offender re-entry grant program which also requires the 
GPRA (ARA, Y2).</t>
  </si>
  <si>
    <t xml:space="preserve">FMRS, Southern Highlands, &amp; Seneca are partners in a SAMHSA
NCTSN grant (RAPP, Y3) which requires NOMS intake assessmenB13:H20ts and reassessments at 6
months and a SAMHSA MAT grant (MARA, Y1) which requires GPRA assessments and
follow-ups at 3- &amp; 6-mo regardless of client service status. </t>
  </si>
  <si>
    <t xml:space="preserve">PROGRAM PROGRESS REPORT </t>
  </si>
  <si>
    <t>ASAM LEVEL OF CARE - If other is selected specify in Column I</t>
  </si>
  <si>
    <t xml:space="preserve">handed off' to appropriate ASAM level of Care: </t>
  </si>
  <si>
    <t xml:space="preserve">Date of Admission to FAST (MM/DD/YYYY)(will auto populate to other tabs) </t>
  </si>
  <si>
    <t xml:space="preserve">Has individual been discharged and readmitted To FAST under the grant </t>
  </si>
  <si>
    <t>Date of Admission to FAST (will auto populate)</t>
  </si>
  <si>
    <t>Name fo Entity, City, County  in which client was 'handed-off'</t>
  </si>
  <si>
    <r>
      <t xml:space="preserve">2b) DEMOGRAPHICS - COMPLETE WHEN CLIENT IS ADMITTED TO THE PROGRAM  </t>
    </r>
    <r>
      <rPr>
        <b/>
        <sz val="14"/>
        <color rgb="FFFF8B8B"/>
        <rFont val="Calibri"/>
        <family val="2"/>
        <scheme val="minor"/>
      </rPr>
      <t>NEED TO USE NEW GPRA DATA ELEMENTS</t>
    </r>
  </si>
  <si>
    <t>Date of Admission to FAST (MM/DD/YYYY) (will auto populate)</t>
  </si>
  <si>
    <t xml:space="preserve">Make a strategic plan to identify, convene, and increase coordination and collaboration among stakeholders in the ODCP Regional Coordinator’s catchment area and between the ODCP Regional Coordinators statewide. </t>
  </si>
  <si>
    <t xml:space="preserve">Coordinates local entities regarding substance use disorder activities all along the continuum of care, prevention, early intervention, treatment, recovery and life supports. </t>
  </si>
  <si>
    <t>Objectives</t>
  </si>
  <si>
    <t>IMPLEMENTATION PLAN  OCT 2021</t>
  </si>
  <si>
    <t>Note Section for Column B                                         OCTOBER 2021</t>
  </si>
  <si>
    <t xml:space="preserve">IMPLEMENTATION PLAN  NOV 2021 </t>
  </si>
  <si>
    <t xml:space="preserve">Note Section for Column D                                                  NOV 20201 </t>
  </si>
  <si>
    <t>IMPLEMENTATION PLAN  DEC 2021</t>
  </si>
  <si>
    <t>Note Section for Column F                                             DEC 2021</t>
  </si>
  <si>
    <t>IMPLEMENTATION PLAN JAN 2022</t>
  </si>
  <si>
    <t>Note Section for Column H                                        JAN 2022</t>
  </si>
  <si>
    <t>IMPLEMENTATION PLAN FEB 2022</t>
  </si>
  <si>
    <t>Note Section for Column J                                            FEB 2022</t>
  </si>
  <si>
    <t>IMPLEMENTATION PLAN MAR 2022</t>
  </si>
  <si>
    <t>Note Section for Column L                                             MAR 2022</t>
  </si>
  <si>
    <t>IMPLEMENTATION PLAN   APR 2022</t>
  </si>
  <si>
    <t>Note Section for Column N                                                APR  2022</t>
  </si>
  <si>
    <t>IMPLEMENTATION PLAN   MAY 2022</t>
  </si>
  <si>
    <t>Note Section for Column P                                         MAY 2021</t>
  </si>
  <si>
    <t>IMPLEMENTATION PLAN  JUNE 2022</t>
  </si>
  <si>
    <t>Note Section for Column R                                           JUNE  2022</t>
  </si>
  <si>
    <t>IMPLEMENTATION PLAN   JULY 2022</t>
  </si>
  <si>
    <t>Note Section for Column T                                   JULY 2022</t>
  </si>
  <si>
    <t>IMPLEMENTATION PLAN AUG 2022</t>
  </si>
  <si>
    <t>Note Section for Column V                                      AUG  2022</t>
  </si>
  <si>
    <t>IMPLEMENTATION PLAN   SEPT 2022</t>
  </si>
  <si>
    <t xml:space="preserve">Note Section for Column X                                         SEPT 2022 </t>
  </si>
  <si>
    <t xml:space="preserve">GRANTEE / CONTRACTOR- PROGRAM INFORMATION:  (Any changes will need to be made on 1BASE GRANTEE INFO &amp; UPDATES Tab) </t>
  </si>
  <si>
    <t xml:space="preserve">Within 60 days of notice of award grantee will provide a detailed implementation plan, with timeline, to achieve objectives below. </t>
  </si>
  <si>
    <t xml:space="preserve">Develop activities with participating CADCA Coalitions to positively impact the environmental factors that contribute to the risk of developing a SUD. </t>
  </si>
  <si>
    <t xml:space="preserve">For groups of like activities, the grantee will provide explanation on how the activities reduce the risk of developing a SUD and promote protective factors for either the individual participants or the community. </t>
  </si>
  <si>
    <t xml:space="preserve">Implement activities with individuals from the community and coalitions. </t>
  </si>
  <si>
    <t xml:space="preserve">Activities will actively conduct outreach, engage and educate populations that are at risk for developing a SUD. </t>
  </si>
  <si>
    <t xml:space="preserve">Incorporate social marketing and health promotion principles into the strategic plans developed under CADCA. </t>
  </si>
  <si>
    <t xml:space="preserve">Disseminate prevention and informational materials regarding SUD, overdose prevention, and anti-stigma regarding SUD to the individuals that participate in activities. </t>
  </si>
  <si>
    <t xml:space="preserve">WV Bureau for Behavioral Health and Health Facilities -Community Anti-Drug Coalitions of America (CADCA) in Action </t>
  </si>
  <si>
    <t>Fiscal Year 2022 - Time Period for Grant 09/30/2021 through 09/29/2022</t>
  </si>
  <si>
    <t>In process</t>
  </si>
  <si>
    <t>Delayed (Explain in notes)</t>
  </si>
  <si>
    <t xml:space="preserve">Completed </t>
  </si>
  <si>
    <t>Started</t>
  </si>
  <si>
    <r>
      <t>a.</t>
    </r>
    <r>
      <rPr>
        <sz val="7"/>
        <color theme="1"/>
        <rFont val="Times New Roman"/>
        <family val="1"/>
      </rPr>
      <t xml:space="preserve">    </t>
    </r>
    <r>
      <rPr>
        <sz val="11"/>
        <color theme="1"/>
        <rFont val="Arial"/>
        <family val="2"/>
      </rPr>
      <t>Number of Unduplicated Persons Served by Type of Activity</t>
    </r>
  </si>
  <si>
    <r>
      <t>b.</t>
    </r>
    <r>
      <rPr>
        <sz val="7"/>
        <color theme="1"/>
        <rFont val="Times New Roman"/>
        <family val="1"/>
      </rPr>
      <t xml:space="preserve">    </t>
    </r>
    <r>
      <rPr>
        <sz val="11"/>
        <color theme="1"/>
        <rFont val="Arial"/>
        <family val="2"/>
      </rPr>
      <t>Number of Unduplicated Persons Served by Age, Gender, Race and Ethnicity and Diagnosis(es)</t>
    </r>
  </si>
  <si>
    <r>
      <t>a.</t>
    </r>
    <r>
      <rPr>
        <sz val="7"/>
        <color theme="1"/>
        <rFont val="Times New Roman"/>
        <family val="1"/>
      </rPr>
      <t xml:space="preserve">    </t>
    </r>
    <r>
      <rPr>
        <sz val="11"/>
        <color theme="1"/>
        <rFont val="Arial"/>
        <family val="2"/>
      </rPr>
      <t>Number of Cross Planning (Inter-agency meetings, Community Collaboratives, Regional Summits, Local Task Forces) initiatives, service activities (resource fairs, community presentations) implemented with other sectors indicating type and number.</t>
    </r>
  </si>
  <si>
    <r>
      <t>a.</t>
    </r>
    <r>
      <rPr>
        <sz val="7"/>
        <color theme="1"/>
        <rFont val="Times New Roman"/>
        <family val="1"/>
      </rPr>
      <t xml:space="preserve">    </t>
    </r>
    <r>
      <rPr>
        <sz val="11"/>
        <color theme="1"/>
        <rFont val="Arial"/>
        <family val="2"/>
      </rPr>
      <t>Number and type of professional development trainings/events attended.</t>
    </r>
  </si>
  <si>
    <r>
      <t>b.</t>
    </r>
    <r>
      <rPr>
        <sz val="7"/>
        <color theme="1"/>
        <rFont val="Times New Roman"/>
        <family val="1"/>
      </rPr>
      <t xml:space="preserve">    </t>
    </r>
    <r>
      <rPr>
        <sz val="11"/>
        <color theme="1"/>
        <rFont val="Arial"/>
        <family val="2"/>
      </rPr>
      <t>Number, type (focus groups, surveys, or key-informant interviews), and aggregate results of consumer feedback activities conducted.</t>
    </r>
  </si>
  <si>
    <r>
      <t>a.</t>
    </r>
    <r>
      <rPr>
        <sz val="7"/>
        <color theme="1"/>
        <rFont val="Times New Roman"/>
        <family val="1"/>
      </rPr>
      <t xml:space="preserve">    </t>
    </r>
    <r>
      <rPr>
        <sz val="11"/>
        <color theme="1"/>
        <rFont val="Arial"/>
        <family val="2"/>
      </rPr>
      <t>Monthly qualitative descriptions of activities, including major accomplishments and barriers.</t>
    </r>
  </si>
  <si>
    <r>
      <t>b.</t>
    </r>
    <r>
      <rPr>
        <sz val="7"/>
        <color theme="1"/>
        <rFont val="Times New Roman"/>
        <family val="1"/>
      </rPr>
      <t xml:space="preserve">    </t>
    </r>
    <r>
      <rPr>
        <sz val="11"/>
        <color theme="1"/>
        <rFont val="Arial"/>
        <family val="2"/>
      </rPr>
      <t>Number of unduplicated overdoses, recurrent overdoses and overdose fatalities within service area.</t>
    </r>
  </si>
  <si>
    <r>
      <t>c.</t>
    </r>
    <r>
      <rPr>
        <sz val="7"/>
        <color theme="1"/>
        <rFont val="Times New Roman"/>
        <family val="1"/>
      </rPr>
      <t xml:space="preserve">     </t>
    </r>
    <r>
      <rPr>
        <sz val="11"/>
        <color theme="1"/>
        <rFont val="Arial"/>
        <family val="2"/>
      </rPr>
      <t>Number enrolled into insurance plan.</t>
    </r>
  </si>
  <si>
    <r>
      <t>d.</t>
    </r>
    <r>
      <rPr>
        <sz val="7"/>
        <color theme="1"/>
        <rFont val="Times New Roman"/>
        <family val="1"/>
      </rPr>
      <t xml:space="preserve">    </t>
    </r>
    <r>
      <rPr>
        <sz val="11"/>
        <color theme="1"/>
        <rFont val="Arial"/>
        <family val="2"/>
      </rPr>
      <t>Number of unduplicated persons receive medication for OUD by type.</t>
    </r>
  </si>
  <si>
    <r>
      <t>e.</t>
    </r>
    <r>
      <rPr>
        <sz val="7"/>
        <color theme="1"/>
        <rFont val="Times New Roman"/>
        <family val="1"/>
      </rPr>
      <t xml:space="preserve">    </t>
    </r>
    <r>
      <rPr>
        <sz val="11"/>
        <color theme="1"/>
        <rFont val="Arial"/>
        <family val="2"/>
      </rPr>
      <t>Number of unduplicated persons who enter treatment programs other than those providing federally approved medication by type.</t>
    </r>
  </si>
  <si>
    <r>
      <t>f.</t>
    </r>
    <r>
      <rPr>
        <sz val="7"/>
        <color theme="1"/>
        <rFont val="Times New Roman"/>
        <family val="1"/>
      </rPr>
      <t xml:space="preserve">      </t>
    </r>
    <r>
      <rPr>
        <sz val="11"/>
        <color theme="1"/>
        <rFont val="Arial"/>
        <family val="2"/>
      </rPr>
      <t>Number of Participants by Age, Gender, Race, and Ethnicity who have remained engaged in treatment 3 months after initial QRT contact by treatment type, including treatment with medication and contingency management for stimulant misuse; at 6 months after initial QRT contact by treatment type, including treatment with medication and contingency management for stimulant use disorder.</t>
    </r>
  </si>
  <si>
    <r>
      <t>g.</t>
    </r>
    <r>
      <rPr>
        <sz val="7"/>
        <color theme="1"/>
        <rFont val="Times New Roman"/>
        <family val="1"/>
      </rPr>
      <t xml:space="preserve">    </t>
    </r>
    <r>
      <rPr>
        <sz val="11"/>
        <color theme="1"/>
        <rFont val="Arial"/>
        <family val="2"/>
      </rPr>
      <t xml:space="preserve">Number of Family Members or Friends by Age, Gender, Race, and Ethnicity provided treatment resource information. </t>
    </r>
  </si>
  <si>
    <r>
      <t>h.</t>
    </r>
    <r>
      <rPr>
        <sz val="7"/>
        <color theme="1"/>
        <rFont val="Times New Roman"/>
        <family val="1"/>
      </rPr>
      <t xml:space="preserve">    </t>
    </r>
    <r>
      <rPr>
        <sz val="11"/>
        <color theme="1"/>
        <rFont val="Arial"/>
        <family val="2"/>
      </rPr>
      <t>Number of Follow-up Contacts with Overdose Survivors who are not ready for treatment.</t>
    </r>
  </si>
  <si>
    <r>
      <t>a.</t>
    </r>
    <r>
      <rPr>
        <sz val="7"/>
        <color theme="1"/>
        <rFont val="Times New Roman"/>
        <family val="1"/>
      </rPr>
      <t xml:space="preserve">    </t>
    </r>
    <r>
      <rPr>
        <sz val="11"/>
        <color theme="1"/>
        <rFont val="Arial"/>
        <family val="2"/>
      </rPr>
      <t>Continued engagement initiatives between response agencies, including type and number.</t>
    </r>
  </si>
  <si>
    <r>
      <t>b.</t>
    </r>
    <r>
      <rPr>
        <sz val="7"/>
        <color theme="1"/>
        <rFont val="Times New Roman"/>
        <family val="1"/>
      </rPr>
      <t xml:space="preserve">    </t>
    </r>
    <r>
      <rPr>
        <sz val="11"/>
        <color theme="1"/>
        <rFont val="Arial"/>
        <family val="2"/>
      </rPr>
      <t>Number of service activities (outreach, events) with other sectors indicating type and number.</t>
    </r>
  </si>
  <si>
    <r>
      <t>c.</t>
    </r>
    <r>
      <rPr>
        <sz val="7"/>
        <color theme="1"/>
        <rFont val="Times New Roman"/>
        <family val="1"/>
      </rPr>
      <t xml:space="preserve">     </t>
    </r>
    <r>
      <rPr>
        <sz val="11"/>
        <color theme="1"/>
        <rFont val="Arial"/>
        <family val="2"/>
      </rPr>
      <t>Number and type of professional development trainings attended and provided. Log should include date, number of attendees by profession, funding source of training, etc…</t>
    </r>
  </si>
  <si>
    <r>
      <t>d.</t>
    </r>
    <r>
      <rPr>
        <sz val="7"/>
        <color theme="1"/>
        <rFont val="Times New Roman"/>
        <family val="1"/>
      </rPr>
      <t xml:space="preserve">    </t>
    </r>
    <r>
      <rPr>
        <sz val="11"/>
        <color theme="1"/>
        <rFont val="Arial"/>
        <family val="2"/>
      </rPr>
      <t>Number, type (surveys, or key-informant interviews), and aggregate results of consumer feedback activities conducted.</t>
    </r>
  </si>
  <si>
    <r>
      <t>e.</t>
    </r>
    <r>
      <rPr>
        <sz val="7"/>
        <color theme="1"/>
        <rFont val="Times New Roman"/>
        <family val="1"/>
      </rPr>
      <t xml:space="preserve">    </t>
    </r>
    <r>
      <rPr>
        <sz val="11"/>
        <color theme="1"/>
        <rFont val="Arial"/>
        <family val="2"/>
      </rPr>
      <t>Log of stakeholder concerns and proposed/implemented resolutions.</t>
    </r>
  </si>
  <si>
    <r>
      <t>2.</t>
    </r>
    <r>
      <rPr>
        <b/>
        <sz val="7"/>
        <color theme="1"/>
        <rFont val="Times New Roman"/>
        <family val="1"/>
      </rPr>
      <t xml:space="preserve">    </t>
    </r>
    <r>
      <rPr>
        <b/>
        <sz val="11"/>
        <color theme="1"/>
        <rFont val="Arial"/>
        <family val="2"/>
      </rPr>
      <t>Maintain and provide documentation of ALL activities related to service area(s) indicated by:</t>
    </r>
  </si>
  <si>
    <r>
      <t>1.</t>
    </r>
    <r>
      <rPr>
        <b/>
        <sz val="7"/>
        <color theme="1"/>
        <rFont val="Times New Roman"/>
        <family val="1"/>
      </rPr>
      <t xml:space="preserve">    </t>
    </r>
    <r>
      <rPr>
        <b/>
        <sz val="11"/>
        <color theme="1"/>
        <rFont val="Arial"/>
        <family val="2"/>
      </rPr>
      <t xml:space="preserve">Grantee will work with BBH to collect the needed performance measures based on the specific activities planned and implemented. </t>
    </r>
  </si>
  <si>
    <r>
      <t>3.</t>
    </r>
    <r>
      <rPr>
        <b/>
        <sz val="7"/>
        <color theme="1"/>
        <rFont val="Times New Roman"/>
        <family val="1"/>
      </rPr>
      <t xml:space="preserve">    </t>
    </r>
    <r>
      <rPr>
        <b/>
        <sz val="11"/>
        <color theme="1"/>
        <rFont val="Arial"/>
        <family val="2"/>
      </rPr>
      <t>Maintain and provide documentation related to the following:</t>
    </r>
  </si>
  <si>
    <r>
      <t>4.</t>
    </r>
    <r>
      <rPr>
        <b/>
        <sz val="7"/>
        <color theme="1"/>
        <rFont val="Times New Roman"/>
        <family val="1"/>
      </rPr>
      <t xml:space="preserve">    </t>
    </r>
    <r>
      <rPr>
        <b/>
        <sz val="11"/>
        <color theme="1"/>
        <rFont val="Arial"/>
        <family val="2"/>
      </rPr>
      <t xml:space="preserve">Maintain and provide documentation of:   </t>
    </r>
  </si>
  <si>
    <r>
      <t>5.</t>
    </r>
    <r>
      <rPr>
        <b/>
        <sz val="7"/>
        <color theme="1"/>
        <rFont val="Times New Roman"/>
        <family val="1"/>
      </rPr>
      <t xml:space="preserve">    </t>
    </r>
    <r>
      <rPr>
        <b/>
        <sz val="11"/>
        <color theme="1"/>
        <rFont val="Arial"/>
        <family val="2"/>
      </rPr>
      <t>Maintain and provide documentation related to the following:</t>
    </r>
  </si>
  <si>
    <r>
      <t>6.</t>
    </r>
    <r>
      <rPr>
        <b/>
        <sz val="7"/>
        <color theme="1"/>
        <rFont val="Times New Roman"/>
        <family val="1"/>
      </rPr>
      <t xml:space="preserve">    </t>
    </r>
    <r>
      <rPr>
        <b/>
        <sz val="11"/>
        <color theme="1"/>
        <rFont val="Arial"/>
        <family val="2"/>
      </rPr>
      <t xml:space="preserve">Plans drafted to help with program implementation and sustainability. </t>
    </r>
  </si>
  <si>
    <r>
      <t>7.</t>
    </r>
    <r>
      <rPr>
        <b/>
        <sz val="7"/>
        <color theme="1"/>
        <rFont val="Times New Roman"/>
        <family val="1"/>
      </rPr>
      <t xml:space="preserve">    </t>
    </r>
    <r>
      <rPr>
        <b/>
        <sz val="11"/>
        <color theme="1"/>
        <rFont val="Arial"/>
        <family val="2"/>
      </rPr>
      <t xml:space="preserve">Submit all data as related to the Expected Outcomes/Performance Measures within 25 calendar days of the end of each month to BBH’s Data Reporting Mailbox:  </t>
    </r>
    <r>
      <rPr>
        <b/>
        <u/>
        <sz val="11"/>
        <color rgb="FF0000FF"/>
        <rFont val="Arial"/>
        <family val="2"/>
      </rPr>
      <t>DHHRBBHReporting@wv.gov</t>
    </r>
    <r>
      <rPr>
        <b/>
        <sz val="11"/>
        <color theme="1"/>
        <rFont val="Arial"/>
        <family val="2"/>
      </rPr>
      <t xml:space="preserve">; or, if previously approved, through the CSDR reporting system. </t>
    </r>
  </si>
  <si>
    <r>
      <t>8.</t>
    </r>
    <r>
      <rPr>
        <b/>
        <sz val="7"/>
        <color theme="1"/>
        <rFont val="Times New Roman"/>
        <family val="1"/>
      </rPr>
      <t xml:space="preserve">    </t>
    </r>
    <r>
      <rPr>
        <b/>
        <sz val="11"/>
        <color theme="1"/>
        <rFont val="Arial"/>
        <family val="2"/>
      </rPr>
      <t>More information on SOR can be found on at https://dhhr.wv.gov/BBH/resources/SOR/Pages/default.aspx</t>
    </r>
    <r>
      <rPr>
        <b/>
        <sz val="11"/>
        <color rgb="FF2582D5"/>
        <rFont val="Arial"/>
        <family val="2"/>
      </rPr>
      <t> </t>
    </r>
    <r>
      <rPr>
        <b/>
        <sz val="11"/>
        <color theme="1"/>
        <rFont val="Arial"/>
        <family val="2"/>
      </rPr>
      <t xml:space="preserve"> and information on BBH is also available online at https://dhhr.wv.gov/BBH/Pages/default.aspx</t>
    </r>
    <r>
      <rPr>
        <b/>
        <sz val="11"/>
        <color rgb="FF201F1E"/>
        <rFont val="Calibri"/>
        <family val="2"/>
      </rPr>
      <t xml:space="preserve">. </t>
    </r>
  </si>
  <si>
    <t xml:space="preserve">2b) GENERAL PROGRAM INFORMATION </t>
  </si>
  <si>
    <t xml:space="preserve">Number of Enviromental Community Activities held to mitigate Opioid Use </t>
  </si>
  <si>
    <t xml:space="preserve">TOPIC </t>
  </si>
  <si>
    <t>TOTAL  YEAR TO DATE</t>
  </si>
  <si>
    <t>PROFESSIONS</t>
  </si>
  <si>
    <t>2022 (09/30/2021 - 09/29/2022)</t>
  </si>
  <si>
    <t>2023 (09/30/2022 - 09/29/2023)</t>
  </si>
  <si>
    <t>2024 (09/30/2023 - 09/29/2024)</t>
  </si>
  <si>
    <t>2025 (09/30/2024 - 09/29/2025)</t>
  </si>
  <si>
    <t>2026 (09/30/2025 - 09/29/2026)</t>
  </si>
  <si>
    <t>2027 (09/30/2026 - 09/29/2027)</t>
  </si>
  <si>
    <t>2028 (09/30/2027 - 09/29/2028)</t>
  </si>
  <si>
    <t>2029 (09/30/2028 - 09/29/2029)</t>
  </si>
  <si>
    <t>2030 (09/30/2029 - 09/29/2030)</t>
  </si>
  <si>
    <t xml:space="preserve">1c) PERTINENT INFORMATION REGARDING THE PROGRAM </t>
  </si>
  <si>
    <t xml:space="preserve">1b) PHYSICAL AREA  (Cities/Counties/Work-Sites) SERVED BY GRANT </t>
  </si>
  <si>
    <t>MOUD</t>
  </si>
  <si>
    <t>MOUD &amp; OUD Treatment</t>
  </si>
  <si>
    <t>MOUD &amp; Other TX Services (specify in Notes)</t>
  </si>
  <si>
    <t xml:space="preserve">MOUD, OUD TX &amp; Other TX Services (Specify in Notes) </t>
  </si>
  <si>
    <t>Statewide availability</t>
  </si>
  <si>
    <t>October 2024</t>
  </si>
  <si>
    <t>November 2024</t>
  </si>
  <si>
    <t>December 2024</t>
  </si>
  <si>
    <t>January 2025</t>
  </si>
  <si>
    <t>February 2025</t>
  </si>
  <si>
    <t>March 2025</t>
  </si>
  <si>
    <t>April 2025</t>
  </si>
  <si>
    <t>May 2025</t>
  </si>
  <si>
    <t>June 2025</t>
  </si>
  <si>
    <t>July 2025</t>
  </si>
  <si>
    <t>August 2025</t>
  </si>
  <si>
    <t>Qualitative descriptions of activities, including major accomplishments and barriers as well as progress achieved in addressing the needs of diverse populations (e.g., racial/ethnic minorities, LGBTQ+, older adults) and implementation of targeted interventions to promote behavioral health equity.</t>
  </si>
  <si>
    <t>Qualitative descriptions of activities, incluing major accomplishments and barriers as well as progress achieved in addressing the needs of diverse populations (e.g., racial/ethnic minorities, LGBTQ+, older adults) and implementation of targeted interventions to promote behavioral health equity.</t>
  </si>
  <si>
    <t>Qualitative descriptons of activities, including major accomplishments and barriers as well as progress achieved in addressing the needs of diverse populations (e.g., racial/ethnic minorities, LGBTQ+, older adults) and implementation of targeted interventions to promote behavioral health equity.</t>
  </si>
  <si>
    <t>WV Bureau for Behavioral Health and Health Facilities -Community Anti-Drug Coalitions of America and Teen Court</t>
  </si>
  <si>
    <t xml:space="preserve">Community Anti-Drug Coalitions of America (CADCA) and Teen Court </t>
  </si>
  <si>
    <t>Month</t>
  </si>
  <si>
    <t>Year</t>
  </si>
  <si>
    <t>Category</t>
  </si>
  <si>
    <t>Month/Year Being Reported</t>
  </si>
  <si>
    <t>Program Code:</t>
  </si>
  <si>
    <t>2b) SUPPLEMENTAL Government Performance and Results Act (GPRA) DATA/NALOXONE DISTRIBUTION</t>
  </si>
  <si>
    <t>Use the following link to report Supplemental GPRA data (Naloxone Distribution and Education):</t>
  </si>
  <si>
    <t>https://forms.gle/YLU4P4MypHLJutbRA</t>
  </si>
  <si>
    <t>2c) Monthly Tallies</t>
  </si>
  <si>
    <t>Reporting Period</t>
  </si>
  <si>
    <t>Oct</t>
  </si>
  <si>
    <t xml:space="preserve">The # of individuals referred to treatment for Stimulant Use Disorder: </t>
  </si>
  <si>
    <t>Nov</t>
  </si>
  <si>
    <t>Dec</t>
  </si>
  <si>
    <t>Jan</t>
  </si>
  <si>
    <t>Feb</t>
  </si>
  <si>
    <t>Mar</t>
  </si>
  <si>
    <t>Apr</t>
  </si>
  <si>
    <t>May</t>
  </si>
  <si>
    <t>Jun</t>
  </si>
  <si>
    <t>Jul</t>
  </si>
  <si>
    <t>Aug</t>
  </si>
  <si>
    <t>Sept</t>
  </si>
  <si>
    <t>The # of unduplicated persons served by SOR Teen Court under the current funding period:</t>
  </si>
  <si>
    <t>The # of individuals referred to OUD treatment</t>
  </si>
  <si>
    <t>September 2025</t>
  </si>
  <si>
    <t>Activities - Include Training (given or received), Meetings, Events (conferences/summits etc)</t>
  </si>
  <si>
    <t>Date of Activity</t>
  </si>
  <si>
    <t>Type of Activity</t>
  </si>
  <si>
    <t>Name and Purpose of Activity</t>
  </si>
  <si>
    <t>Outcomes / NOTES</t>
  </si>
  <si>
    <t>Number of NCA and NYLI events held for coalitions</t>
  </si>
  <si>
    <t>Number of Strategic Prevention Framework process meetings held with community coalitions or agencies.</t>
  </si>
  <si>
    <r>
      <rPr>
        <b/>
        <sz val="12"/>
        <color theme="1"/>
        <rFont val="Calibri"/>
        <family val="2"/>
        <scheme val="minor"/>
      </rPr>
      <t xml:space="preserve">Program: </t>
    </r>
    <r>
      <rPr>
        <sz val="12"/>
        <color theme="1"/>
        <rFont val="Calibri"/>
        <family val="2"/>
        <scheme val="minor"/>
      </rPr>
      <t>(same as on Statement of Work [SOW])</t>
    </r>
  </si>
  <si>
    <r>
      <rPr>
        <b/>
        <sz val="12"/>
        <color theme="1"/>
        <rFont val="Calibri"/>
        <family val="2"/>
        <scheme val="minor"/>
      </rPr>
      <t xml:space="preserve">Name of Program: </t>
    </r>
    <r>
      <rPr>
        <sz val="12"/>
        <color theme="1"/>
        <rFont val="Calibri"/>
        <family val="2"/>
        <scheme val="minor"/>
      </rPr>
      <t>(given by Grantee)</t>
    </r>
  </si>
  <si>
    <r>
      <rPr>
        <b/>
        <sz val="12"/>
        <color theme="1"/>
        <rFont val="Calibri"/>
        <family val="2"/>
        <scheme val="minor"/>
      </rPr>
      <t>Grant Number:</t>
    </r>
    <r>
      <rPr>
        <sz val="12"/>
        <color theme="1"/>
        <rFont val="Calibri"/>
        <family val="2"/>
        <scheme val="minor"/>
      </rPr>
      <t xml:space="preserve"> (located on Grant Agreement) </t>
    </r>
  </si>
  <si>
    <r>
      <rPr>
        <b/>
        <sz val="12"/>
        <color theme="1"/>
        <rFont val="Calibri"/>
        <family val="2"/>
        <scheme val="minor"/>
      </rPr>
      <t xml:space="preserve">Month/Year Being Reported </t>
    </r>
    <r>
      <rPr>
        <sz val="12"/>
        <color theme="1"/>
        <rFont val="Calibri"/>
        <family val="2"/>
        <scheme val="minor"/>
      </rPr>
      <t xml:space="preserve">(Drop-Down box) </t>
    </r>
  </si>
  <si>
    <r>
      <rPr>
        <b/>
        <sz val="12"/>
        <color theme="1"/>
        <rFont val="Calibri"/>
        <family val="2"/>
        <scheme val="minor"/>
      </rPr>
      <t>Program Code:</t>
    </r>
    <r>
      <rPr>
        <sz val="12"/>
        <color theme="1"/>
        <rFont val="Calibri"/>
        <family val="2"/>
        <scheme val="minor"/>
      </rPr>
      <t xml:space="preserve"> (located on TFB or SOW) </t>
    </r>
  </si>
  <si>
    <t>FISCAL YEAR: 2025 (09/30/2024 - 09/29/2025)</t>
  </si>
  <si>
    <t xml:space="preserve">2a) GRANTEE - PROGRAM INFORMATION:   (Any changes will need to be made on BASE GRANTEE INFO &amp; UPDATES Tab) </t>
  </si>
  <si>
    <r>
      <rPr>
        <b/>
        <sz val="12"/>
        <color theme="1"/>
        <rFont val="Calibri"/>
        <family val="2"/>
      </rPr>
      <t xml:space="preserve">Program: </t>
    </r>
    <r>
      <rPr>
        <sz val="12"/>
        <color theme="1"/>
        <rFont val="Calibri"/>
        <family val="2"/>
      </rPr>
      <t>(same as on Statement of Work [SOW])</t>
    </r>
  </si>
  <si>
    <r>
      <rPr>
        <b/>
        <sz val="12"/>
        <color theme="1"/>
        <rFont val="Calibri"/>
        <family val="2"/>
      </rPr>
      <t xml:space="preserve">Name of Program: </t>
    </r>
    <r>
      <rPr>
        <sz val="12"/>
        <color theme="1"/>
        <rFont val="Calibri"/>
        <family val="2"/>
      </rPr>
      <t>(given by Grantee)</t>
    </r>
  </si>
  <si>
    <t>Qualitative descriptions of activities, including major accomplishments and barriers as well as progress achieved in addressing the needs of diverse populations (e.g., racial/ethnic minorities, LGBTQ+, older adults) and implementation of targeted interventions to promote behavioral health equity for both CADCA and Teen Court programs.</t>
  </si>
  <si>
    <t>CADCA In Action and Teen Court</t>
  </si>
  <si>
    <t xml:space="preserve">Program reports need to be submitted electronically, via e-mail to BBHReporting@wv.gov  within 25 calendar days of the end of each month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</si>
</sst>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4" formatCode="_(&quot;$&quot;* #,##0.00_);_(&quot;$&quot;* \(#,##0.00\);_(&quot;$&quot;* &quot;-&quot;??_);_(@_)"/>
    <numFmt numFmtId="164" formatCode="_(* #,##0.00_);_(* \(#,##0.00\);_(* \-??_);_(@_)"/>
    <numFmt numFmtId="165" formatCode="_(\$* #,##0.00_);_(\$* \(#,##0.00\);_(\$* \-??_);_(@_)"/>
  </numFmts>
  <fonts count="139" x14ac:knownFonts="1">
    <font>
      <sz val="11"/>
      <color theme="1"/>
      <name val="Calibri"/>
      <family val="2"/>
      <scheme val="minor"/>
    </font>
    <font>
      <b/>
      <sz val="11"/>
      <color theme="1"/>
      <name val="Calibri"/>
      <family val="2"/>
      <scheme val="minor"/>
    </font>
    <font>
      <b/>
      <sz val="12"/>
      <color theme="1"/>
      <name val="Calibri"/>
      <family val="2"/>
      <scheme val="minor"/>
    </font>
    <font>
      <sz val="8"/>
      <color theme="1"/>
      <name val="Calibri"/>
      <family val="2"/>
      <scheme val="minor"/>
    </font>
    <font>
      <b/>
      <sz val="8"/>
      <color theme="1"/>
      <name val="Calibri"/>
      <family val="2"/>
      <scheme val="minor"/>
    </font>
    <font>
      <b/>
      <sz val="11"/>
      <color rgb="FFFF0000"/>
      <name val="Calibri"/>
      <family val="2"/>
      <scheme val="minor"/>
    </font>
    <font>
      <b/>
      <sz val="14"/>
      <color theme="0"/>
      <name val="Calibri"/>
      <family val="2"/>
      <scheme val="minor"/>
    </font>
    <font>
      <sz val="12"/>
      <name val="Calibri"/>
      <family val="2"/>
      <scheme val="minor"/>
    </font>
    <font>
      <b/>
      <sz val="12"/>
      <name val="Calibri"/>
      <family val="2"/>
      <scheme val="minor"/>
    </font>
    <font>
      <b/>
      <sz val="11"/>
      <color theme="9" tint="0.59999389629810485"/>
      <name val="Calibri"/>
      <family val="2"/>
      <scheme val="minor"/>
    </font>
    <font>
      <sz val="12"/>
      <color theme="1"/>
      <name val="Calibri"/>
      <family val="2"/>
      <scheme val="minor"/>
    </font>
    <font>
      <sz val="8"/>
      <color rgb="FF0070C0"/>
      <name val="Calibri"/>
      <family val="2"/>
      <scheme val="minor"/>
    </font>
    <font>
      <sz val="9"/>
      <color theme="1"/>
      <name val="Calibri"/>
      <family val="2"/>
      <scheme val="minor"/>
    </font>
    <font>
      <sz val="11"/>
      <color rgb="FFFF0000"/>
      <name val="Calibri"/>
      <family val="2"/>
      <scheme val="minor"/>
    </font>
    <font>
      <sz val="11"/>
      <color theme="0"/>
      <name val="Calibri"/>
      <family val="2"/>
      <scheme val="minor"/>
    </font>
    <font>
      <sz val="8"/>
      <name val="Calibri"/>
      <family val="2"/>
      <scheme val="minor"/>
    </font>
    <font>
      <sz val="8"/>
      <color theme="9" tint="-0.499984740745262"/>
      <name val="Calibri"/>
      <family val="2"/>
      <scheme val="minor"/>
    </font>
    <font>
      <b/>
      <sz val="14"/>
      <color rgb="FFFFDDFF"/>
      <name val="Calibri"/>
      <family val="2"/>
      <scheme val="minor"/>
    </font>
    <font>
      <sz val="11"/>
      <name val="Calibri"/>
      <family val="2"/>
      <scheme val="minor"/>
    </font>
    <font>
      <sz val="8"/>
      <color rgb="FFFF0000"/>
      <name val="Calibri"/>
      <family val="2"/>
      <scheme val="minor"/>
    </font>
    <font>
      <sz val="10"/>
      <color theme="1"/>
      <name val="Calibri"/>
      <family val="2"/>
      <scheme val="minor"/>
    </font>
    <font>
      <b/>
      <sz val="10"/>
      <color theme="1"/>
      <name val="Calibri"/>
      <family val="2"/>
      <scheme val="minor"/>
    </font>
    <font>
      <b/>
      <sz val="10"/>
      <color rgb="FFFF0000"/>
      <name val="Calibri"/>
      <family val="2"/>
      <scheme val="minor"/>
    </font>
    <font>
      <sz val="10"/>
      <color rgb="FFFF0000"/>
      <name val="Calibri"/>
      <family val="2"/>
      <scheme val="minor"/>
    </font>
    <font>
      <b/>
      <u/>
      <sz val="10"/>
      <color rgb="FFFF0000"/>
      <name val="Calibri"/>
      <family val="2"/>
      <scheme val="minor"/>
    </font>
    <font>
      <u/>
      <sz val="10"/>
      <color rgb="FFFF0000"/>
      <name val="Calibri"/>
      <family val="2"/>
      <scheme val="minor"/>
    </font>
    <font>
      <b/>
      <sz val="16"/>
      <color theme="1"/>
      <name val="Calibri"/>
      <family val="2"/>
      <scheme val="minor"/>
    </font>
    <font>
      <sz val="9"/>
      <color theme="9" tint="-0.499984740745262"/>
      <name val="Calibri"/>
      <family val="2"/>
      <scheme val="minor"/>
    </font>
    <font>
      <b/>
      <sz val="8"/>
      <name val="Calibri"/>
      <family val="2"/>
      <scheme val="minor"/>
    </font>
    <font>
      <sz val="10"/>
      <name val="Calibri"/>
      <family val="2"/>
      <scheme val="minor"/>
    </font>
    <font>
      <b/>
      <sz val="10"/>
      <name val="Calibri"/>
      <family val="2"/>
      <scheme val="minor"/>
    </font>
    <font>
      <sz val="8"/>
      <color rgb="FF002060"/>
      <name val="Calibri"/>
      <family val="2"/>
      <scheme val="minor"/>
    </font>
    <font>
      <u/>
      <sz val="8"/>
      <color theme="9" tint="-0.499984740745262"/>
      <name val="Calibri"/>
      <family val="2"/>
      <scheme val="minor"/>
    </font>
    <font>
      <sz val="8"/>
      <color rgb="FFFF66FF"/>
      <name val="Calibri"/>
      <family val="2"/>
      <scheme val="minor"/>
    </font>
    <font>
      <sz val="8"/>
      <color theme="0"/>
      <name val="Calibri"/>
      <family val="2"/>
      <scheme val="minor"/>
    </font>
    <font>
      <sz val="8"/>
      <color theme="9" tint="0.39997558519241921"/>
      <name val="Calibri"/>
      <family val="2"/>
      <scheme val="minor"/>
    </font>
    <font>
      <sz val="14"/>
      <color theme="1"/>
      <name val="Calibri"/>
      <family val="2"/>
      <scheme val="minor"/>
    </font>
    <font>
      <b/>
      <sz val="9"/>
      <color rgb="FF0070C0"/>
      <name val="Calibri"/>
      <family val="2"/>
      <scheme val="minor"/>
    </font>
    <font>
      <b/>
      <sz val="11"/>
      <color rgb="FF0070C0"/>
      <name val="Calibri"/>
      <family val="2"/>
      <scheme val="minor"/>
    </font>
    <font>
      <b/>
      <sz val="10"/>
      <color rgb="FF0070C0"/>
      <name val="Calibri"/>
      <family val="2"/>
      <scheme val="minor"/>
    </font>
    <font>
      <b/>
      <sz val="9"/>
      <color theme="7" tint="-0.499984740745262"/>
      <name val="Calibri"/>
      <family val="2"/>
      <scheme val="minor"/>
    </font>
    <font>
      <b/>
      <sz val="9"/>
      <color theme="1"/>
      <name val="Calibri"/>
      <family val="2"/>
      <scheme val="minor"/>
    </font>
    <font>
      <sz val="11"/>
      <color theme="7" tint="-0.499984740745262"/>
      <name val="Calibri"/>
      <family val="2"/>
      <scheme val="minor"/>
    </font>
    <font>
      <b/>
      <sz val="8"/>
      <color rgb="FF0070C0"/>
      <name val="Calibri"/>
      <family val="2"/>
      <scheme val="minor"/>
    </font>
    <font>
      <b/>
      <sz val="9"/>
      <color theme="0"/>
      <name val="Calibri"/>
      <family val="2"/>
      <scheme val="minor"/>
    </font>
    <font>
      <b/>
      <sz val="10"/>
      <color theme="7" tint="-0.499984740745262"/>
      <name val="Calibri"/>
      <family val="2"/>
      <scheme val="minor"/>
    </font>
    <font>
      <b/>
      <sz val="8"/>
      <color theme="7" tint="-0.499984740745262"/>
      <name val="Calibri"/>
      <family val="2"/>
      <scheme val="minor"/>
    </font>
    <font>
      <b/>
      <sz val="9"/>
      <name val="Calibri"/>
      <family val="2"/>
      <scheme val="minor"/>
    </font>
    <font>
      <sz val="8"/>
      <color theme="7" tint="-0.499984740745262"/>
      <name val="Calibri"/>
      <family val="2"/>
      <scheme val="minor"/>
    </font>
    <font>
      <b/>
      <sz val="8"/>
      <color theme="9" tint="-0.499984740745262"/>
      <name val="Calibri"/>
      <family val="2"/>
      <scheme val="minor"/>
    </font>
    <font>
      <b/>
      <sz val="11"/>
      <name val="Calibri"/>
      <family val="2"/>
      <scheme val="minor"/>
    </font>
    <font>
      <sz val="9"/>
      <color theme="7" tint="-0.499984740745262"/>
      <name val="Calibri"/>
      <family val="2"/>
      <scheme val="minor"/>
    </font>
    <font>
      <b/>
      <sz val="11"/>
      <color theme="7" tint="-0.499984740745262"/>
      <name val="Calibri"/>
      <family val="2"/>
      <scheme val="minor"/>
    </font>
    <font>
      <sz val="9"/>
      <color theme="9" tint="0.79998168889431442"/>
      <name val="Calibri"/>
      <family val="2"/>
      <scheme val="minor"/>
    </font>
    <font>
      <b/>
      <sz val="11"/>
      <color theme="9" tint="0.79998168889431442"/>
      <name val="Calibri"/>
      <family val="2"/>
      <scheme val="minor"/>
    </font>
    <font>
      <b/>
      <sz val="9"/>
      <color theme="4" tint="0.79998168889431442"/>
      <name val="Calibri"/>
      <family val="2"/>
      <scheme val="minor"/>
    </font>
    <font>
      <b/>
      <sz val="11"/>
      <color theme="4" tint="0.79998168889431442"/>
      <name val="Calibri"/>
      <family val="2"/>
      <scheme val="minor"/>
    </font>
    <font>
      <b/>
      <sz val="9"/>
      <color theme="8" tint="0.79998168889431442"/>
      <name val="Calibri"/>
      <family val="2"/>
      <scheme val="minor"/>
    </font>
    <font>
      <b/>
      <sz val="11"/>
      <color theme="8" tint="0.79998168889431442"/>
      <name val="Calibri"/>
      <family val="2"/>
      <scheme val="minor"/>
    </font>
    <font>
      <b/>
      <sz val="9"/>
      <color theme="7" tint="0.79998168889431442"/>
      <name val="Calibri"/>
      <family val="2"/>
      <scheme val="minor"/>
    </font>
    <font>
      <b/>
      <sz val="11"/>
      <color theme="7" tint="0.79998168889431442"/>
      <name val="Calibri"/>
      <family val="2"/>
      <scheme val="minor"/>
    </font>
    <font>
      <b/>
      <sz val="9"/>
      <color theme="2" tint="-9.9978637043366805E-2"/>
      <name val="Calibri"/>
      <family val="2"/>
      <scheme val="minor"/>
    </font>
    <font>
      <b/>
      <sz val="11"/>
      <color theme="2" tint="-9.9978637043366805E-2"/>
      <name val="Calibri"/>
      <family val="2"/>
      <scheme val="minor"/>
    </font>
    <font>
      <sz val="9"/>
      <name val="Calibri"/>
      <family val="2"/>
      <scheme val="minor"/>
    </font>
    <font>
      <sz val="10"/>
      <color theme="7" tint="-0.499984740745262"/>
      <name val="Calibri"/>
      <family val="2"/>
      <scheme val="minor"/>
    </font>
    <font>
      <b/>
      <sz val="14"/>
      <name val="Calibri"/>
      <family val="2"/>
      <scheme val="minor"/>
    </font>
    <font>
      <sz val="14"/>
      <color theme="0"/>
      <name val="Calibri"/>
      <family val="2"/>
      <scheme val="minor"/>
    </font>
    <font>
      <b/>
      <sz val="20"/>
      <color theme="0"/>
      <name val="Calibri"/>
      <family val="2"/>
      <scheme val="minor"/>
    </font>
    <font>
      <b/>
      <sz val="20"/>
      <color theme="1"/>
      <name val="Calibri"/>
      <family val="2"/>
      <scheme val="minor"/>
    </font>
    <font>
      <sz val="11"/>
      <color rgb="FF0070C0"/>
      <name val="Calibri"/>
      <family val="2"/>
      <scheme val="minor"/>
    </font>
    <font>
      <sz val="9"/>
      <color rgb="FF0070C0"/>
      <name val="Calibri"/>
      <family val="2"/>
      <scheme val="minor"/>
    </font>
    <font>
      <b/>
      <sz val="14"/>
      <color theme="1"/>
      <name val="Calibri"/>
      <family val="2"/>
      <scheme val="minor"/>
    </font>
    <font>
      <b/>
      <sz val="10"/>
      <color theme="0"/>
      <name val="Calibri"/>
      <family val="2"/>
      <scheme val="minor"/>
    </font>
    <font>
      <b/>
      <sz val="10"/>
      <color rgb="FF00518E"/>
      <name val="Calibri"/>
      <family val="2"/>
      <scheme val="minor"/>
    </font>
    <font>
      <b/>
      <sz val="8"/>
      <color theme="0"/>
      <name val="Calibri"/>
      <family val="2"/>
      <scheme val="minor"/>
    </font>
    <font>
      <sz val="10"/>
      <color theme="0"/>
      <name val="Calibri"/>
      <family val="2"/>
      <scheme val="minor"/>
    </font>
    <font>
      <b/>
      <sz val="10"/>
      <color rgb="FF642F04"/>
      <name val="Calibri"/>
      <family val="2"/>
      <scheme val="minor"/>
    </font>
    <font>
      <b/>
      <sz val="8"/>
      <color rgb="FF642F04"/>
      <name val="Calibri"/>
      <family val="2"/>
      <scheme val="minor"/>
    </font>
    <font>
      <b/>
      <sz val="12"/>
      <color theme="0"/>
      <name val="Calibri"/>
      <family val="2"/>
      <scheme val="minor"/>
    </font>
    <font>
      <b/>
      <sz val="12"/>
      <color rgb="FF0070C0"/>
      <name val="Calibri"/>
      <family val="2"/>
      <scheme val="minor"/>
    </font>
    <font>
      <b/>
      <sz val="12"/>
      <color rgb="FF642F04"/>
      <name val="Calibri"/>
      <family val="2"/>
      <scheme val="minor"/>
    </font>
    <font>
      <b/>
      <sz val="12"/>
      <color rgb="FF00518E"/>
      <name val="Calibri"/>
      <family val="2"/>
      <scheme val="minor"/>
    </font>
    <font>
      <b/>
      <sz val="12"/>
      <color rgb="FF684D00"/>
      <name val="Calibri"/>
      <family val="2"/>
      <scheme val="minor"/>
    </font>
    <font>
      <b/>
      <sz val="12"/>
      <color theme="7" tint="-0.499984740745262"/>
      <name val="Calibri"/>
      <family val="2"/>
      <scheme val="minor"/>
    </font>
    <font>
      <b/>
      <sz val="8"/>
      <color rgb="FF684D00"/>
      <name val="Calibri"/>
      <family val="2"/>
      <scheme val="minor"/>
    </font>
    <font>
      <b/>
      <sz val="10"/>
      <color rgb="FF684D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9"/>
      <color rgb="FFFF0000"/>
      <name val="Calibri"/>
      <family val="2"/>
      <scheme val="minor"/>
    </font>
    <font>
      <sz val="12"/>
      <color rgb="FFFF0000"/>
      <name val="Calibri"/>
      <family val="2"/>
      <scheme val="minor"/>
    </font>
    <font>
      <sz val="6"/>
      <name val="Calibri"/>
      <family val="2"/>
      <scheme val="minor"/>
    </font>
    <font>
      <sz val="11"/>
      <color theme="8" tint="-0.499984740745262"/>
      <name val="Calibri"/>
      <family val="2"/>
      <scheme val="minor"/>
    </font>
    <font>
      <sz val="11"/>
      <color rgb="FF002060"/>
      <name val="Calibri"/>
      <family val="2"/>
      <scheme val="minor"/>
    </font>
    <font>
      <b/>
      <sz val="11"/>
      <color theme="8" tint="-0.499984740745262"/>
      <name val="Calibri"/>
      <family val="2"/>
      <scheme val="minor"/>
    </font>
    <font>
      <sz val="9"/>
      <color rgb="FF002060"/>
      <name val="Calibri"/>
      <family val="2"/>
      <scheme val="minor"/>
    </font>
    <font>
      <sz val="9"/>
      <color theme="8" tint="-0.499984740745262"/>
      <name val="Calibri"/>
      <family val="2"/>
      <scheme val="minor"/>
    </font>
    <font>
      <b/>
      <sz val="9"/>
      <color theme="5" tint="-0.499984740745262"/>
      <name val="Calibri"/>
      <family val="2"/>
      <scheme val="minor"/>
    </font>
    <font>
      <sz val="9"/>
      <color theme="5" tint="-0.499984740745262"/>
      <name val="Calibri"/>
      <family val="2"/>
      <scheme val="minor"/>
    </font>
    <font>
      <b/>
      <u/>
      <sz val="12"/>
      <color theme="7" tint="-0.499984740745262"/>
      <name val="Calibri"/>
      <family val="2"/>
      <scheme val="minor"/>
    </font>
    <font>
      <sz val="24"/>
      <color rgb="FF505050"/>
      <name val="Georgia"/>
      <family val="1"/>
    </font>
    <font>
      <b/>
      <u val="double"/>
      <sz val="20"/>
      <color theme="0"/>
      <name val="Calibri"/>
      <family val="2"/>
      <scheme val="minor"/>
    </font>
    <font>
      <b/>
      <sz val="16"/>
      <color theme="0"/>
      <name val="Calibri"/>
      <family val="2"/>
    </font>
    <font>
      <b/>
      <u val="double"/>
      <sz val="16"/>
      <color theme="0"/>
      <name val="Calibri"/>
      <family val="2"/>
    </font>
    <font>
      <b/>
      <u/>
      <sz val="10"/>
      <color theme="0"/>
      <name val="Calibri"/>
      <family val="2"/>
    </font>
    <font>
      <b/>
      <u/>
      <sz val="11"/>
      <color theme="1"/>
      <name val="Calibri"/>
      <family val="2"/>
      <scheme val="minor"/>
    </font>
    <font>
      <sz val="8"/>
      <color theme="5" tint="-0.499984740745262"/>
      <name val="Calibri"/>
      <family val="2"/>
      <scheme val="minor"/>
    </font>
    <font>
      <b/>
      <sz val="8"/>
      <color theme="5" tint="-0.499984740745262"/>
      <name val="Calibri"/>
      <family val="2"/>
      <scheme val="minor"/>
    </font>
    <font>
      <b/>
      <sz val="11"/>
      <color theme="5" tint="-0.499984740745262"/>
      <name val="Calibri"/>
      <family val="2"/>
      <scheme val="minor"/>
    </font>
    <font>
      <b/>
      <sz val="13"/>
      <color theme="0"/>
      <name val="Calibri"/>
      <family val="2"/>
      <scheme val="minor"/>
    </font>
    <font>
      <b/>
      <sz val="14"/>
      <color rgb="FFFF8B8B"/>
      <name val="Calibri"/>
      <family val="2"/>
      <scheme val="minor"/>
    </font>
    <font>
      <b/>
      <sz val="11"/>
      <color theme="0"/>
      <name val="Calibri"/>
      <family val="2"/>
      <scheme val="minor"/>
    </font>
    <font>
      <sz val="11"/>
      <color theme="1"/>
      <name val="Arial"/>
      <family val="2"/>
    </font>
    <font>
      <sz val="7"/>
      <color theme="1"/>
      <name val="Times New Roman"/>
      <family val="1"/>
    </font>
    <font>
      <b/>
      <sz val="11"/>
      <color theme="1"/>
      <name val="Arial"/>
      <family val="2"/>
    </font>
    <font>
      <b/>
      <sz val="7"/>
      <color theme="1"/>
      <name val="Times New Roman"/>
      <family val="1"/>
    </font>
    <font>
      <b/>
      <u/>
      <sz val="11"/>
      <color rgb="FF0000FF"/>
      <name val="Arial"/>
      <family val="2"/>
    </font>
    <font>
      <b/>
      <sz val="11"/>
      <color rgb="FF2582D5"/>
      <name val="Arial"/>
      <family val="2"/>
    </font>
    <font>
      <b/>
      <sz val="11"/>
      <color rgb="FF201F1E"/>
      <name val="Calibri"/>
      <family val="2"/>
    </font>
    <font>
      <b/>
      <sz val="11"/>
      <color rgb="FF483500"/>
      <name val="Calibri"/>
      <family val="2"/>
      <scheme val="minor"/>
    </font>
    <font>
      <b/>
      <sz val="12"/>
      <color theme="5" tint="-0.499984740745262"/>
      <name val="Calibri"/>
      <family val="2"/>
      <scheme val="minor"/>
    </font>
    <font>
      <u/>
      <sz val="11"/>
      <color theme="10"/>
      <name val="Calibri"/>
      <family val="2"/>
      <scheme val="minor"/>
    </font>
    <font>
      <b/>
      <sz val="12"/>
      <color theme="1"/>
      <name val="Calibri"/>
      <family val="2"/>
    </font>
    <font>
      <b/>
      <sz val="11"/>
      <color theme="1"/>
      <name val="Calibri"/>
      <family val="2"/>
    </font>
    <font>
      <sz val="8"/>
      <color theme="1"/>
      <name val="Calibri"/>
      <family val="2"/>
    </font>
    <font>
      <b/>
      <sz val="14"/>
      <color theme="0"/>
      <name val="Calibri"/>
      <family val="2"/>
    </font>
    <font>
      <u/>
      <sz val="14"/>
      <color theme="0"/>
      <name val="Calibri"/>
      <family val="2"/>
      <scheme val="minor"/>
    </font>
    <font>
      <b/>
      <sz val="11"/>
      <name val="Calibri"/>
      <family val="2"/>
    </font>
    <font>
      <sz val="11"/>
      <name val="Calibri"/>
      <family val="2"/>
    </font>
    <font>
      <sz val="9"/>
      <color theme="1"/>
      <name val="Calibri"/>
      <family val="2"/>
    </font>
    <font>
      <b/>
      <sz val="9"/>
      <color rgb="FF833C0B"/>
      <name val="Calibri"/>
      <family val="2"/>
    </font>
    <font>
      <b/>
      <sz val="8"/>
      <color theme="1"/>
      <name val="Calibri"/>
      <family val="2"/>
    </font>
    <font>
      <sz val="9"/>
      <color rgb="FF283C46"/>
      <name val="Helvetica"/>
      <family val="2"/>
    </font>
    <font>
      <sz val="12"/>
      <color theme="1"/>
      <name val="Calibri"/>
      <family val="2"/>
    </font>
    <font>
      <b/>
      <sz val="12"/>
      <color rgb="FFFF0000"/>
      <name val="Calibri"/>
      <family val="2"/>
    </font>
  </fonts>
  <fills count="88">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rgb="FF002060"/>
        <bgColor indexed="64"/>
      </patternFill>
    </fill>
    <fill>
      <patternFill patternType="solid">
        <fgColor rgb="FFFFFF66"/>
        <bgColor indexed="64"/>
      </patternFill>
    </fill>
    <fill>
      <patternFill patternType="solid">
        <fgColor rgb="FFFFFF00"/>
        <bgColor indexed="64"/>
      </patternFill>
    </fill>
    <fill>
      <patternFill patternType="solid">
        <fgColor rgb="FFBAE18F"/>
        <bgColor indexed="64"/>
      </patternFill>
    </fill>
    <fill>
      <patternFill patternType="solid">
        <fgColor theme="7" tint="0.39997558519241921"/>
        <bgColor indexed="64"/>
      </patternFill>
    </fill>
    <fill>
      <patternFill patternType="solid">
        <fgColor rgb="FF4835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49998474074526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theme="6" tint="-0.499984740745262"/>
        <bgColor indexed="64"/>
      </patternFill>
    </fill>
    <fill>
      <patternFill patternType="solid">
        <fgColor theme="2" tint="-0.749992370372631"/>
        <bgColor indexed="64"/>
      </patternFill>
    </fill>
    <fill>
      <patternFill patternType="solid">
        <fgColor theme="5" tint="-0.24997711111789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499984740745262"/>
        <bgColor indexed="64"/>
      </patternFill>
    </fill>
    <fill>
      <patternFill patternType="solid">
        <fgColor rgb="FF122D46"/>
        <bgColor indexed="64"/>
      </patternFill>
    </fill>
    <fill>
      <patternFill patternType="solid">
        <fgColor rgb="FF414141"/>
        <bgColor indexed="64"/>
      </patternFill>
    </fill>
    <fill>
      <patternFill patternType="solid">
        <fgColor rgb="FFFF9BFF"/>
        <bgColor indexed="64"/>
      </patternFill>
    </fill>
    <fill>
      <patternFill patternType="solid">
        <fgColor rgb="FFFF7DFF"/>
        <bgColor indexed="64"/>
      </patternFill>
    </fill>
    <fill>
      <patternFill patternType="solid">
        <fgColor rgb="FF584300"/>
        <bgColor indexed="64"/>
      </patternFill>
    </fill>
    <fill>
      <patternFill patternType="solid">
        <fgColor rgb="FF7030A0"/>
        <bgColor indexed="64"/>
      </patternFill>
    </fill>
    <fill>
      <patternFill patternType="solid">
        <fgColor rgb="FFCDACE6"/>
        <bgColor indexed="64"/>
      </patternFill>
    </fill>
    <fill>
      <patternFill patternType="solid">
        <fgColor rgb="FFBD92DE"/>
        <bgColor indexed="64"/>
      </patternFill>
    </fill>
    <fill>
      <patternFill patternType="solid">
        <fgColor rgb="FF0070C0"/>
        <bgColor indexed="64"/>
      </patternFill>
    </fill>
    <fill>
      <patternFill patternType="solid">
        <fgColor theme="7" tint="-0.499984740745262"/>
        <bgColor indexed="64"/>
      </patternFill>
    </fill>
    <fill>
      <patternFill patternType="solid">
        <fgColor theme="8" tint="-0.249977111117893"/>
        <bgColor indexed="64"/>
      </patternFill>
    </fill>
    <fill>
      <patternFill patternType="solid">
        <fgColor rgb="FFFFFF99"/>
        <bgColor indexed="64"/>
      </patternFill>
    </fill>
    <fill>
      <patternFill patternType="solid">
        <fgColor theme="1"/>
        <bgColor auto="1"/>
      </patternFill>
    </fill>
    <fill>
      <patternFill patternType="solid">
        <fgColor theme="0" tint="-0.34998626667073579"/>
        <bgColor indexed="64"/>
      </patternFill>
    </fill>
    <fill>
      <patternFill patternType="solid">
        <fgColor rgb="FFFFD357"/>
        <bgColor indexed="64"/>
      </patternFill>
    </fill>
    <fill>
      <gradientFill type="path" left="0.5" right="0.5" top="0.5" bottom="0.5">
        <stop position="0">
          <color theme="0"/>
        </stop>
        <stop position="1">
          <color theme="5" tint="0.40000610370189521"/>
        </stop>
      </gradientFill>
    </fill>
    <fill>
      <patternFill patternType="solid">
        <fgColor rgb="FF684D00"/>
        <bgColor indexed="64"/>
      </patternFill>
    </fill>
    <fill>
      <patternFill patternType="solid">
        <fgColor rgb="FFF0935A"/>
        <bgColor indexed="64"/>
      </patternFill>
    </fill>
    <fill>
      <patternFill patternType="solid">
        <fgColor rgb="FFF0935A"/>
        <bgColor auto="1"/>
      </patternFill>
    </fill>
    <fill>
      <patternFill patternType="solid">
        <fgColor rgb="FFFFCC29"/>
        <bgColor indexed="64"/>
      </patternFill>
    </fill>
    <fill>
      <patternFill patternType="solid">
        <fgColor rgb="FF642F04"/>
        <bgColor indexed="64"/>
      </patternFill>
    </fill>
    <fill>
      <patternFill patternType="solid">
        <fgColor rgb="FF00B0F0"/>
        <bgColor indexed="64"/>
      </patternFill>
    </fill>
    <fill>
      <patternFill patternType="solid">
        <fgColor rgb="FF57D3FF"/>
        <bgColor indexed="64"/>
      </patternFill>
    </fill>
    <fill>
      <patternFill patternType="solid">
        <fgColor rgb="FF7DDDFF"/>
        <bgColor indexed="64"/>
      </patternFill>
    </fill>
    <fill>
      <patternFill patternType="solid">
        <fgColor rgb="FFFFDE75"/>
        <bgColor indexed="64"/>
      </patternFill>
    </fill>
    <fill>
      <patternFill patternType="solid">
        <fgColor rgb="FFFF8B8B"/>
        <bgColor indexed="64"/>
      </patternFill>
    </fill>
    <fill>
      <patternFill patternType="solid">
        <fgColor rgb="FFFFB3B3"/>
        <bgColor indexed="64"/>
      </patternFill>
    </fill>
    <fill>
      <patternFill patternType="solid">
        <fgColor rgb="FFFF8F8F"/>
        <bgColor indexed="64"/>
      </patternFill>
    </fill>
    <fill>
      <patternFill patternType="solid">
        <fgColor rgb="FFFFFF85"/>
        <bgColor indexed="64"/>
      </patternFill>
    </fill>
    <fill>
      <patternFill patternType="solid">
        <fgColor theme="6" tint="0.79998168889431442"/>
        <bgColor indexed="64"/>
      </patternFill>
    </fill>
    <fill>
      <patternFill patternType="solid">
        <fgColor rgb="FFFFFFCC"/>
        <bgColor indexed="64"/>
      </patternFill>
    </fill>
    <fill>
      <patternFill patternType="solid">
        <fgColor rgb="FFFFFFA3"/>
        <bgColor indexed="64"/>
      </patternFill>
    </fill>
    <fill>
      <patternFill patternType="solid">
        <fgColor theme="7" tint="-0.249977111117893"/>
        <bgColor indexed="64"/>
      </patternFill>
    </fill>
    <fill>
      <patternFill patternType="solid">
        <fgColor rgb="FFFFE07D"/>
        <bgColor indexed="64"/>
      </patternFill>
    </fill>
    <fill>
      <patternFill patternType="solid">
        <fgColor rgb="FFA4D76B"/>
        <bgColor indexed="64"/>
      </patternFill>
    </fill>
    <fill>
      <patternFill patternType="solid">
        <fgColor rgb="FF9AD35B"/>
        <bgColor indexed="64"/>
      </patternFill>
    </fill>
    <fill>
      <patternFill patternType="solid">
        <fgColor theme="0" tint="-0.14999847407452621"/>
        <bgColor indexed="64"/>
      </patternFill>
    </fill>
    <fill>
      <patternFill patternType="solid">
        <fgColor theme="9" tint="0.39994506668294322"/>
        <bgColor indexed="64"/>
      </patternFill>
    </fill>
    <fill>
      <patternFill patternType="solid">
        <fgColor theme="0" tint="-0.249977111117893"/>
        <bgColor indexed="64"/>
      </patternFill>
    </fill>
    <fill>
      <patternFill patternType="solid">
        <fgColor rgb="FFCFAFE7"/>
        <bgColor indexed="64"/>
      </patternFill>
    </fill>
    <fill>
      <patternFill patternType="solid">
        <fgColor rgb="FF632B8D"/>
        <bgColor indexed="64"/>
      </patternFill>
    </fill>
    <fill>
      <patternFill patternType="solid">
        <fgColor rgb="FFE1CCF0"/>
        <bgColor indexed="64"/>
      </patternFill>
    </fill>
    <fill>
      <patternFill patternType="solid">
        <fgColor theme="4"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D965"/>
        <bgColor rgb="FFFFD965"/>
      </patternFill>
    </fill>
    <fill>
      <patternFill patternType="solid">
        <fgColor rgb="FFFEF2CB"/>
        <bgColor rgb="FFFEF2CB"/>
      </patternFill>
    </fill>
    <fill>
      <patternFill patternType="solid">
        <fgColor rgb="FF483500"/>
        <bgColor rgb="FF483500"/>
      </patternFill>
    </fill>
    <fill>
      <patternFill patternType="solid">
        <fgColor rgb="FFFFFF85"/>
        <bgColor rgb="FFFFFF85"/>
      </patternFill>
    </fill>
    <fill>
      <patternFill patternType="solid">
        <fgColor rgb="FF9933FF"/>
        <bgColor rgb="FF483500"/>
      </patternFill>
    </fill>
    <fill>
      <patternFill patternType="solid">
        <fgColor theme="4"/>
        <bgColor indexed="64"/>
      </patternFill>
    </fill>
    <fill>
      <patternFill patternType="solid">
        <fgColor theme="8" tint="0.39997558519241921"/>
        <bgColor rgb="FFBDD6EE"/>
      </patternFill>
    </fill>
    <fill>
      <patternFill patternType="solid">
        <fgColor theme="8" tint="0.39997558519241921"/>
        <bgColor rgb="FF9CC2E5"/>
      </patternFill>
    </fill>
    <fill>
      <patternFill patternType="solid">
        <fgColor rgb="FFBDD6EE"/>
        <bgColor rgb="FFBDD6EE"/>
      </patternFill>
    </fill>
    <fill>
      <patternFill patternType="solid">
        <fgColor rgb="FF9CC2E5"/>
        <bgColor rgb="FF9CC2E5"/>
      </patternFill>
    </fill>
    <fill>
      <patternFill patternType="solid">
        <fgColor theme="4" tint="0.79998168889431442"/>
        <bgColor indexed="64"/>
      </patternFill>
    </fill>
  </fills>
  <borders count="11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dashed">
        <color auto="1"/>
      </left>
      <right/>
      <top style="thin">
        <color auto="1"/>
      </top>
      <bottom style="thin">
        <color auto="1"/>
      </bottom>
      <diagonal/>
    </border>
    <border>
      <left style="dashed">
        <color auto="1"/>
      </left>
      <right style="thick">
        <color auto="1"/>
      </right>
      <top style="thin">
        <color auto="1"/>
      </top>
      <bottom style="thin">
        <color auto="1"/>
      </bottom>
      <diagonal/>
    </border>
    <border>
      <left style="thick">
        <color auto="1"/>
      </left>
      <right/>
      <top style="thin">
        <color auto="1"/>
      </top>
      <bottom style="thin">
        <color auto="1"/>
      </bottom>
      <diagonal/>
    </border>
    <border>
      <left style="medium">
        <color auto="1"/>
      </left>
      <right/>
      <top style="thin">
        <color auto="1"/>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double">
        <color auto="1"/>
      </left>
      <right/>
      <top style="thin">
        <color auto="1"/>
      </top>
      <bottom style="thin">
        <color auto="1"/>
      </bottom>
      <diagonal/>
    </border>
    <border>
      <left style="dashed">
        <color auto="1"/>
      </left>
      <right style="thin">
        <color auto="1"/>
      </right>
      <top style="thin">
        <color auto="1"/>
      </top>
      <bottom/>
      <diagonal/>
    </border>
    <border>
      <left style="dashed">
        <color auto="1"/>
      </left>
      <right style="thick">
        <color auto="1"/>
      </right>
      <top style="thick">
        <color auto="1"/>
      </top>
      <bottom style="thick">
        <color auto="1"/>
      </bottom>
      <diagonal/>
    </border>
    <border>
      <left/>
      <right/>
      <top style="thick">
        <color auto="1"/>
      </top>
      <bottom style="thick">
        <color auto="1"/>
      </bottom>
      <diagonal/>
    </border>
    <border>
      <left style="dashed">
        <color auto="1"/>
      </left>
      <right style="thin">
        <color auto="1"/>
      </right>
      <top/>
      <bottom/>
      <diagonal/>
    </border>
    <border>
      <left style="double">
        <color auto="1"/>
      </left>
      <right/>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right/>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right style="thin">
        <color auto="1"/>
      </right>
      <top/>
      <bottom style="thick">
        <color auto="1"/>
      </bottom>
      <diagonal/>
    </border>
    <border>
      <left style="thick">
        <color auto="1"/>
      </left>
      <right style="thin">
        <color auto="1"/>
      </right>
      <top style="thin">
        <color auto="1"/>
      </top>
      <bottom/>
      <diagonal/>
    </border>
    <border>
      <left style="dashed">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style="thick">
        <color auto="1"/>
      </right>
      <top/>
      <bottom style="thin">
        <color auto="1"/>
      </bottom>
      <diagonal/>
    </border>
    <border>
      <left style="medium">
        <color auto="1"/>
      </left>
      <right style="dashed">
        <color auto="1"/>
      </right>
      <top style="thick">
        <color auto="1"/>
      </top>
      <bottom style="thick">
        <color auto="1"/>
      </bottom>
      <diagonal/>
    </border>
    <border>
      <left style="dashed">
        <color auto="1"/>
      </left>
      <right/>
      <top style="thick">
        <color auto="1"/>
      </top>
      <bottom style="thick">
        <color auto="1"/>
      </bottom>
      <diagonal/>
    </border>
    <border>
      <left style="dashed">
        <color auto="1"/>
      </left>
      <right/>
      <top/>
      <bottom style="thin">
        <color auto="1"/>
      </bottom>
      <diagonal/>
    </border>
    <border>
      <left style="thick">
        <color auto="1"/>
      </left>
      <right style="dashed">
        <color auto="1"/>
      </right>
      <top/>
      <bottom/>
      <diagonal/>
    </border>
    <border>
      <left style="dashed">
        <color auto="1"/>
      </left>
      <right/>
      <top/>
      <bottom/>
      <diagonal/>
    </border>
    <border>
      <left style="medium">
        <color auto="1"/>
      </left>
      <right/>
      <top/>
      <bottom style="thin">
        <color auto="1"/>
      </bottom>
      <diagonal/>
    </border>
    <border>
      <left style="dashed">
        <color auto="1"/>
      </left>
      <right style="dashed">
        <color auto="1"/>
      </right>
      <top style="thin">
        <color auto="1"/>
      </top>
      <bottom style="thin">
        <color auto="1"/>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diagonal/>
    </border>
    <border>
      <left/>
      <right style="thick">
        <color auto="1"/>
      </right>
      <top/>
      <bottom/>
      <diagonal/>
    </border>
    <border>
      <left style="thick">
        <color auto="1"/>
      </left>
      <right/>
      <top/>
      <bottom style="thin">
        <color auto="1"/>
      </bottom>
      <diagonal/>
    </border>
    <border>
      <left style="thick">
        <color auto="1"/>
      </left>
      <right/>
      <top style="thin">
        <color auto="1"/>
      </top>
      <bottom style="thick">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right/>
      <top style="thin">
        <color auto="1"/>
      </top>
      <bottom style="thick">
        <color auto="1"/>
      </bottom>
      <diagonal/>
    </border>
    <border>
      <left style="thick">
        <color auto="1"/>
      </left>
      <right style="dashed">
        <color auto="1"/>
      </right>
      <top style="thick">
        <color auto="1"/>
      </top>
      <bottom style="thick">
        <color auto="1"/>
      </bottom>
      <diagonal/>
    </border>
    <border>
      <left style="medium">
        <color auto="1"/>
      </left>
      <right style="dashed">
        <color auto="1"/>
      </right>
      <top style="thin">
        <color auto="1"/>
      </top>
      <bottom style="thin">
        <color auto="1"/>
      </bottom>
      <diagonal/>
    </border>
    <border>
      <left style="medium">
        <color auto="1"/>
      </left>
      <right style="dashed">
        <color auto="1"/>
      </right>
      <top style="thin">
        <color auto="1"/>
      </top>
      <bottom/>
      <diagonal/>
    </border>
    <border>
      <left style="medium">
        <color auto="1"/>
      </left>
      <right style="dashed">
        <color auto="1"/>
      </right>
      <top/>
      <bottom style="thin">
        <color auto="1"/>
      </bottom>
      <diagonal/>
    </border>
    <border>
      <left style="dashed">
        <color auto="1"/>
      </left>
      <right style="thick">
        <color auto="1"/>
      </right>
      <top/>
      <bottom/>
      <diagonal/>
    </border>
    <border>
      <left style="dashed">
        <color auto="1"/>
      </left>
      <right/>
      <top/>
      <bottom style="thick">
        <color auto="1"/>
      </bottom>
      <diagonal/>
    </border>
    <border>
      <left style="dashed">
        <color auto="1"/>
      </left>
      <right style="dashed">
        <color auto="1"/>
      </right>
      <top/>
      <bottom style="thin">
        <color auto="1"/>
      </bottom>
      <diagonal/>
    </border>
    <border>
      <left/>
      <right style="thick">
        <color auto="1"/>
      </right>
      <top style="thick">
        <color auto="1"/>
      </top>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bottom style="medium">
        <color indexed="64"/>
      </bottom>
      <diagonal/>
    </border>
    <border>
      <left style="thick">
        <color rgb="FF000000"/>
      </left>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thick">
        <color rgb="FF000000"/>
      </left>
      <right/>
      <top style="thin">
        <color indexed="64"/>
      </top>
      <bottom style="thin">
        <color auto="1"/>
      </bottom>
      <diagonal/>
    </border>
    <border>
      <left style="thin">
        <color rgb="FF000000"/>
      </left>
      <right style="thick">
        <color rgb="FF000000"/>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style="thick">
        <color rgb="FF000000"/>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250">
    <xf numFmtId="0" fontId="0" fillId="0" borderId="0"/>
    <xf numFmtId="0" fontId="89" fillId="0" borderId="0" applyNumberFormat="0" applyFill="0" applyBorder="0" applyAlignment="0" applyProtection="0">
      <alignment vertical="top"/>
      <protection locked="0"/>
    </xf>
    <xf numFmtId="0" fontId="88" fillId="0" borderId="0"/>
    <xf numFmtId="0" fontId="90" fillId="0" borderId="0"/>
    <xf numFmtId="0" fontId="88" fillId="0" borderId="0"/>
    <xf numFmtId="0" fontId="87" fillId="0" borderId="0">
      <alignment vertical="top"/>
    </xf>
    <xf numFmtId="164" fontId="90" fillId="0" borderId="0"/>
    <xf numFmtId="165" fontId="90" fillId="0" borderId="0"/>
    <xf numFmtId="0" fontId="91" fillId="0" borderId="0"/>
    <xf numFmtId="0" fontId="92"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165" fontId="90" fillId="0" borderId="0"/>
    <xf numFmtId="9" fontId="90" fillId="0" borderId="0"/>
    <xf numFmtId="9" fontId="88"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8" fillId="0" borderId="0"/>
    <xf numFmtId="9" fontId="88"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8" fillId="0" borderId="0" applyFont="0" applyFill="0" applyBorder="0" applyAlignment="0" applyProtection="0"/>
    <xf numFmtId="44"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4" fontId="86" fillId="0" borderId="0" applyFont="0" applyFill="0" applyBorder="0" applyAlignment="0" applyProtection="0"/>
    <xf numFmtId="0" fontId="86" fillId="0" borderId="0"/>
    <xf numFmtId="9" fontId="86" fillId="0" borderId="0" applyFont="0" applyFill="0" applyBorder="0" applyAlignment="0" applyProtection="0"/>
    <xf numFmtId="0" fontId="89" fillId="0" borderId="0" applyNumberFormat="0" applyFill="0" applyBorder="0" applyAlignment="0" applyProtection="0">
      <alignment vertical="top"/>
      <protection locked="0"/>
    </xf>
    <xf numFmtId="0" fontId="86" fillId="73" borderId="0" applyNumberFormat="0" applyBorder="0" applyAlignment="0" applyProtection="0"/>
    <xf numFmtId="0" fontId="86" fillId="74" borderId="0" applyNumberFormat="0" applyBorder="0" applyAlignment="0" applyProtection="0"/>
    <xf numFmtId="0" fontId="86" fillId="75" borderId="0" applyNumberFormat="0" applyBorder="0" applyAlignment="0" applyProtection="0"/>
    <xf numFmtId="0" fontId="86" fillId="76" borderId="0" applyNumberFormat="0" applyBorder="0" applyAlignment="0" applyProtection="0"/>
    <xf numFmtId="0" fontId="125" fillId="0" borderId="0" applyNumberFormat="0" applyFill="0" applyBorder="0" applyAlignment="0" applyProtection="0"/>
  </cellStyleXfs>
  <cellXfs count="1553">
    <xf numFmtId="0" fontId="0" fillId="0" borderId="0" xfId="0"/>
    <xf numFmtId="0" fontId="5" fillId="6" borderId="10" xfId="0" applyFont="1" applyFill="1" applyBorder="1" applyAlignment="1">
      <alignment horizontal="center" vertical="center"/>
    </xf>
    <xf numFmtId="0" fontId="0" fillId="7" borderId="0" xfId="0" applyFill="1"/>
    <xf numFmtId="0" fontId="3" fillId="0" borderId="0" xfId="0" applyFont="1"/>
    <xf numFmtId="0" fontId="3" fillId="0" borderId="0" xfId="0" applyFont="1" applyAlignment="1">
      <alignment horizontal="left" vertical="top"/>
    </xf>
    <xf numFmtId="0" fontId="3" fillId="0" borderId="0" xfId="0" applyFont="1" applyAlignment="1">
      <alignment horizontal="center" vertical="top"/>
    </xf>
    <xf numFmtId="0" fontId="11" fillId="0" borderId="0" xfId="0" applyFont="1"/>
    <xf numFmtId="0" fontId="3" fillId="0" borderId="0" xfId="0" applyFont="1" applyAlignment="1">
      <alignment vertical="top"/>
    </xf>
    <xf numFmtId="0" fontId="3" fillId="7" borderId="0" xfId="0" applyFont="1" applyFill="1"/>
    <xf numFmtId="0" fontId="0" fillId="8" borderId="0" xfId="0" applyFill="1"/>
    <xf numFmtId="0" fontId="12" fillId="0" borderId="0" xfId="0" applyFont="1" applyAlignment="1">
      <alignment horizontal="center"/>
    </xf>
    <xf numFmtId="0" fontId="0" fillId="12" borderId="10" xfId="0" applyFill="1" applyBorder="1" applyAlignment="1">
      <alignment horizontal="center" vertical="center"/>
    </xf>
    <xf numFmtId="0" fontId="6" fillId="13" borderId="0" xfId="0" applyFont="1" applyFill="1" applyAlignment="1">
      <alignment horizontal="left" vertical="center"/>
    </xf>
    <xf numFmtId="0" fontId="0" fillId="14" borderId="10" xfId="0" applyFill="1" applyBorder="1" applyAlignment="1">
      <alignment horizontal="center" vertical="center"/>
    </xf>
    <xf numFmtId="0" fontId="12" fillId="15" borderId="10" xfId="0" applyFont="1" applyFill="1" applyBorder="1" applyAlignment="1">
      <alignment vertical="center" wrapText="1"/>
    </xf>
    <xf numFmtId="0" fontId="12" fillId="14" borderId="10" xfId="0" applyFont="1" applyFill="1" applyBorder="1" applyAlignment="1">
      <alignment vertical="center" wrapText="1"/>
    </xf>
    <xf numFmtId="0" fontId="0" fillId="14" borderId="10" xfId="0" applyFill="1" applyBorder="1"/>
    <xf numFmtId="0" fontId="0" fillId="15" borderId="10" xfId="0" applyFill="1" applyBorder="1"/>
    <xf numFmtId="0" fontId="12" fillId="14" borderId="10" xfId="0" applyFont="1" applyFill="1" applyBorder="1" applyAlignment="1">
      <alignment horizontal="center"/>
    </xf>
    <xf numFmtId="0" fontId="12" fillId="12" borderId="10" xfId="0" applyFont="1" applyFill="1" applyBorder="1" applyAlignment="1">
      <alignment horizontal="center"/>
    </xf>
    <xf numFmtId="0" fontId="12" fillId="12" borderId="10" xfId="0" applyFont="1" applyFill="1" applyBorder="1" applyAlignment="1">
      <alignment horizontal="center" vertical="center" wrapText="1"/>
    </xf>
    <xf numFmtId="0" fontId="3" fillId="2" borderId="10" xfId="0" applyFont="1" applyFill="1" applyBorder="1" applyAlignment="1">
      <alignment vertical="center" textRotation="90" wrapText="1"/>
    </xf>
    <xf numFmtId="0" fontId="3" fillId="3" borderId="10" xfId="0" applyFont="1" applyFill="1" applyBorder="1" applyAlignment="1">
      <alignment horizontal="center" vertical="center"/>
    </xf>
    <xf numFmtId="0" fontId="3" fillId="19" borderId="0" xfId="0" applyFont="1" applyFill="1" applyAlignment="1">
      <alignment vertical="center" textRotation="90" wrapText="1"/>
    </xf>
    <xf numFmtId="0" fontId="17" fillId="19" borderId="5" xfId="0" applyFont="1" applyFill="1" applyBorder="1" applyAlignment="1">
      <alignment vertical="center" wrapText="1"/>
    </xf>
    <xf numFmtId="0" fontId="17" fillId="19" borderId="0" xfId="0" applyFont="1" applyFill="1" applyAlignment="1">
      <alignment vertical="center" wrapText="1"/>
    </xf>
    <xf numFmtId="0" fontId="0" fillId="19" borderId="0" xfId="0" applyFill="1" applyAlignment="1">
      <alignment vertical="center"/>
    </xf>
    <xf numFmtId="0" fontId="0" fillId="19" borderId="0" xfId="0" applyFill="1"/>
    <xf numFmtId="0" fontId="0" fillId="19" borderId="0" xfId="0" applyFill="1" applyAlignment="1">
      <alignment horizontal="left" vertical="center" wrapText="1"/>
    </xf>
    <xf numFmtId="0" fontId="3" fillId="19" borderId="2" xfId="0" applyFont="1" applyFill="1" applyBorder="1" applyAlignment="1">
      <alignment vertical="center" textRotation="90" wrapText="1"/>
    </xf>
    <xf numFmtId="0" fontId="3" fillId="16" borderId="10" xfId="0" applyFont="1" applyFill="1" applyBorder="1" applyAlignment="1">
      <alignment horizontal="center" vertical="center"/>
    </xf>
    <xf numFmtId="0" fontId="20" fillId="16" borderId="10" xfId="0" applyFont="1" applyFill="1" applyBorder="1" applyAlignment="1">
      <alignment horizontal="center" vertical="center"/>
    </xf>
    <xf numFmtId="0" fontId="20" fillId="17" borderId="10" xfId="0" applyFont="1" applyFill="1" applyBorder="1" applyAlignment="1">
      <alignment vertical="center" wrapText="1"/>
    </xf>
    <xf numFmtId="0" fontId="29" fillId="16" borderId="4" xfId="0" applyFont="1" applyFill="1" applyBorder="1" applyAlignment="1">
      <alignment vertical="center" wrapText="1"/>
    </xf>
    <xf numFmtId="0" fontId="30" fillId="17" borderId="10" xfId="0" applyFont="1" applyFill="1" applyBorder="1" applyAlignment="1">
      <alignment vertical="center" wrapText="1"/>
    </xf>
    <xf numFmtId="0" fontId="20" fillId="17" borderId="4" xfId="0" applyFont="1" applyFill="1" applyBorder="1" applyAlignment="1">
      <alignment vertical="center" wrapText="1"/>
    </xf>
    <xf numFmtId="0" fontId="20" fillId="16" borderId="4" xfId="0" applyFont="1" applyFill="1" applyBorder="1" applyAlignment="1">
      <alignment vertical="center" wrapText="1"/>
    </xf>
    <xf numFmtId="0" fontId="27" fillId="16" borderId="7" xfId="0" applyFont="1" applyFill="1" applyBorder="1" applyAlignment="1" applyProtection="1">
      <alignment vertical="center" wrapText="1"/>
      <protection locked="0"/>
    </xf>
    <xf numFmtId="0" fontId="3" fillId="16" borderId="7" xfId="0" applyFont="1" applyFill="1" applyBorder="1" applyAlignment="1" applyProtection="1">
      <alignment vertical="center" wrapText="1"/>
      <protection locked="0"/>
    </xf>
    <xf numFmtId="14" fontId="12" fillId="17" borderId="7" xfId="0" applyNumberFormat="1" applyFont="1" applyFill="1" applyBorder="1" applyAlignment="1" applyProtection="1">
      <alignment horizontal="center" vertical="center"/>
      <protection locked="0"/>
    </xf>
    <xf numFmtId="0" fontId="27" fillId="17" borderId="7" xfId="0" applyFont="1" applyFill="1" applyBorder="1" applyAlignment="1" applyProtection="1">
      <alignment vertical="center" wrapText="1"/>
      <protection locked="0"/>
    </xf>
    <xf numFmtId="0" fontId="3" fillId="17" borderId="7" xfId="0" applyFont="1" applyFill="1" applyBorder="1" applyAlignment="1" applyProtection="1">
      <alignment vertical="center" wrapText="1"/>
      <protection locked="0"/>
    </xf>
    <xf numFmtId="0" fontId="29" fillId="16" borderId="7" xfId="0" applyFont="1" applyFill="1" applyBorder="1" applyAlignment="1">
      <alignment vertical="center" wrapText="1"/>
    </xf>
    <xf numFmtId="0" fontId="3" fillId="18" borderId="15" xfId="0" applyFont="1" applyFill="1" applyBorder="1" applyAlignment="1">
      <alignment vertical="center" textRotation="90" wrapText="1"/>
    </xf>
    <xf numFmtId="0" fontId="3" fillId="2" borderId="15" xfId="0" applyFont="1" applyFill="1" applyBorder="1" applyAlignment="1">
      <alignment vertical="center" textRotation="90" wrapText="1"/>
    </xf>
    <xf numFmtId="0" fontId="3" fillId="18" borderId="10" xfId="0" applyFont="1" applyFill="1" applyBorder="1" applyAlignment="1">
      <alignment vertical="center" textRotation="90" wrapText="1"/>
    </xf>
    <xf numFmtId="0" fontId="3" fillId="14" borderId="11" xfId="0" applyFont="1" applyFill="1" applyBorder="1" applyAlignment="1">
      <alignment vertical="center" textRotation="90" wrapText="1"/>
    </xf>
    <xf numFmtId="0" fontId="3" fillId="15" borderId="11" xfId="0" applyFont="1" applyFill="1" applyBorder="1" applyAlignment="1">
      <alignment vertical="center" textRotation="90" wrapText="1"/>
    </xf>
    <xf numFmtId="0" fontId="15" fillId="15" borderId="10" xfId="0" applyFont="1" applyFill="1" applyBorder="1" applyAlignment="1" applyProtection="1">
      <alignment horizontal="center" vertical="center" wrapText="1"/>
      <protection locked="0"/>
    </xf>
    <xf numFmtId="0" fontId="39" fillId="12" borderId="10" xfId="0" applyFont="1" applyFill="1" applyBorder="1" applyAlignment="1">
      <alignment vertical="center" wrapText="1"/>
    </xf>
    <xf numFmtId="0" fontId="37" fillId="9" borderId="11" xfId="0" applyFont="1" applyFill="1" applyBorder="1" applyAlignment="1">
      <alignment horizontal="center" vertical="center" wrapText="1"/>
    </xf>
    <xf numFmtId="0" fontId="37" fillId="12" borderId="11" xfId="0" applyFont="1" applyFill="1" applyBorder="1" applyAlignment="1">
      <alignment horizontal="center" vertical="center" wrapText="1"/>
    </xf>
    <xf numFmtId="0" fontId="12" fillId="12" borderId="11" xfId="0" applyFont="1" applyFill="1" applyBorder="1" applyAlignment="1">
      <alignment horizontal="center" vertical="center" wrapText="1"/>
    </xf>
    <xf numFmtId="0" fontId="39" fillId="12" borderId="10" xfId="0" applyFont="1" applyFill="1" applyBorder="1" applyAlignment="1">
      <alignment horizontal="center" vertical="center" wrapText="1"/>
    </xf>
    <xf numFmtId="0" fontId="40" fillId="9" borderId="10" xfId="0" applyFont="1" applyFill="1" applyBorder="1" applyAlignment="1">
      <alignment horizontal="center" vertical="center" wrapText="1"/>
    </xf>
    <xf numFmtId="0" fontId="40" fillId="12" borderId="10" xfId="0" applyFont="1" applyFill="1" applyBorder="1" applyAlignment="1">
      <alignment horizontal="center" vertical="center" wrapText="1"/>
    </xf>
    <xf numFmtId="0" fontId="40" fillId="9" borderId="11" xfId="0" applyFont="1" applyFill="1" applyBorder="1" applyAlignment="1">
      <alignment horizontal="center" vertical="center" wrapText="1"/>
    </xf>
    <xf numFmtId="0" fontId="40" fillId="12" borderId="11" xfId="0" applyFont="1" applyFill="1" applyBorder="1" applyAlignment="1">
      <alignment horizontal="center" vertical="center" wrapText="1"/>
    </xf>
    <xf numFmtId="0" fontId="37" fillId="15" borderId="11" xfId="0" applyFont="1" applyFill="1" applyBorder="1" applyAlignment="1">
      <alignment horizontal="center" vertical="center" wrapText="1"/>
    </xf>
    <xf numFmtId="0" fontId="37" fillId="14" borderId="11" xfId="0" applyFont="1" applyFill="1" applyBorder="1" applyAlignment="1">
      <alignment horizontal="center" vertical="center" wrapText="1"/>
    </xf>
    <xf numFmtId="0" fontId="0" fillId="12" borderId="0" xfId="0" applyFill="1" applyAlignment="1">
      <alignment horizontal="center" vertical="center"/>
    </xf>
    <xf numFmtId="0" fontId="40" fillId="9" borderId="1" xfId="0" applyFont="1" applyFill="1" applyBorder="1" applyAlignment="1">
      <alignment horizontal="center" vertical="center" wrapText="1"/>
    </xf>
    <xf numFmtId="0" fontId="40" fillId="9" borderId="7" xfId="0" applyFont="1" applyFill="1" applyBorder="1" applyAlignment="1">
      <alignment horizontal="center" vertical="center" wrapText="1"/>
    </xf>
    <xf numFmtId="0" fontId="0" fillId="9" borderId="16" xfId="0" applyFill="1" applyBorder="1"/>
    <xf numFmtId="0" fontId="8" fillId="10" borderId="2" xfId="0" applyFont="1" applyFill="1" applyBorder="1" applyAlignment="1">
      <alignment horizontal="center" vertical="center"/>
    </xf>
    <xf numFmtId="0" fontId="8" fillId="10" borderId="0" xfId="0" applyFont="1" applyFill="1" applyAlignment="1">
      <alignment horizontal="center" vertical="center"/>
    </xf>
    <xf numFmtId="0" fontId="7" fillId="10" borderId="0" xfId="0" applyFont="1" applyFill="1" applyAlignment="1">
      <alignment horizontal="center" vertical="center"/>
    </xf>
    <xf numFmtId="0" fontId="3" fillId="15" borderId="10" xfId="0" applyFont="1" applyFill="1" applyBorder="1" applyAlignment="1">
      <alignment vertical="center" wrapText="1"/>
    </xf>
    <xf numFmtId="0" fontId="0" fillId="10" borderId="0" xfId="0" applyFill="1" applyAlignment="1" applyProtection="1">
      <alignment horizontal="left" vertical="center"/>
      <protection locked="0"/>
    </xf>
    <xf numFmtId="0" fontId="42" fillId="9" borderId="7" xfId="0" applyFont="1" applyFill="1" applyBorder="1" applyAlignment="1">
      <alignment horizontal="center" vertical="center"/>
    </xf>
    <xf numFmtId="0" fontId="44" fillId="13" borderId="10" xfId="0" applyFont="1" applyFill="1" applyBorder="1" applyAlignment="1">
      <alignment vertical="center" wrapText="1"/>
    </xf>
    <xf numFmtId="0" fontId="0" fillId="18" borderId="10"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45" fillId="17" borderId="4" xfId="0" applyFont="1" applyFill="1" applyBorder="1" applyAlignment="1">
      <alignment vertical="center" wrapText="1"/>
    </xf>
    <xf numFmtId="0" fontId="45" fillId="17" borderId="16" xfId="0" applyFont="1" applyFill="1" applyBorder="1" applyAlignment="1">
      <alignment horizontal="center" vertical="center" wrapText="1"/>
    </xf>
    <xf numFmtId="14" fontId="38" fillId="9" borderId="10" xfId="0" applyNumberFormat="1" applyFont="1" applyFill="1" applyBorder="1" applyAlignment="1">
      <alignment horizontal="center" vertical="center" wrapText="1"/>
    </xf>
    <xf numFmtId="0" fontId="42" fillId="12" borderId="10" xfId="0" applyFont="1" applyFill="1" applyBorder="1" applyAlignment="1">
      <alignment horizontal="center" vertical="center"/>
    </xf>
    <xf numFmtId="0" fontId="40" fillId="9" borderId="10" xfId="0" applyFont="1" applyFill="1" applyBorder="1" applyAlignment="1">
      <alignment vertical="center" wrapText="1"/>
    </xf>
    <xf numFmtId="0" fontId="46" fillId="12" borderId="10" xfId="0" applyFont="1" applyFill="1" applyBorder="1" applyAlignment="1">
      <alignment vertical="center" wrapText="1"/>
    </xf>
    <xf numFmtId="0" fontId="8" fillId="13" borderId="2" xfId="0" applyFont="1" applyFill="1" applyBorder="1" applyAlignment="1">
      <alignment horizontal="center" vertical="center"/>
    </xf>
    <xf numFmtId="0" fontId="8" fillId="13" borderId="0" xfId="0" applyFont="1" applyFill="1" applyAlignment="1">
      <alignment horizontal="center" vertical="center"/>
    </xf>
    <xf numFmtId="0" fontId="7" fillId="13" borderId="0" xfId="0" applyFont="1" applyFill="1" applyAlignment="1">
      <alignment horizontal="center" vertical="center"/>
    </xf>
    <xf numFmtId="0" fontId="0" fillId="13" borderId="0" xfId="0" applyFill="1"/>
    <xf numFmtId="0" fontId="0" fillId="13" borderId="14" xfId="0" applyFill="1" applyBorder="1"/>
    <xf numFmtId="0" fontId="6" fillId="13" borderId="5" xfId="0" applyFont="1" applyFill="1" applyBorder="1" applyAlignment="1">
      <alignment horizontal="left" vertical="center"/>
    </xf>
    <xf numFmtId="0" fontId="12" fillId="14" borderId="18" xfId="0" applyFont="1" applyFill="1" applyBorder="1" applyAlignment="1">
      <alignment vertical="center" wrapText="1"/>
    </xf>
    <xf numFmtId="0" fontId="16" fillId="15" borderId="16" xfId="0" applyFont="1" applyFill="1" applyBorder="1" applyAlignment="1">
      <alignment vertical="center" wrapText="1"/>
    </xf>
    <xf numFmtId="0" fontId="40" fillId="15" borderId="7" xfId="0" applyFont="1" applyFill="1" applyBorder="1" applyAlignment="1">
      <alignment vertical="center" wrapText="1"/>
    </xf>
    <xf numFmtId="0" fontId="40" fillId="14" borderId="10" xfId="0" applyFont="1" applyFill="1" applyBorder="1" applyAlignment="1">
      <alignment vertical="center" wrapText="1"/>
    </xf>
    <xf numFmtId="0" fontId="0" fillId="14" borderId="13" xfId="0" applyFill="1" applyBorder="1" applyAlignment="1">
      <alignment horizontal="center" vertical="center"/>
    </xf>
    <xf numFmtId="0" fontId="37" fillId="15" borderId="15" xfId="0" applyFont="1" applyFill="1" applyBorder="1" applyAlignment="1">
      <alignment horizontal="center" vertical="center" wrapText="1"/>
    </xf>
    <xf numFmtId="0" fontId="37" fillId="14" borderId="15" xfId="0" applyFont="1" applyFill="1" applyBorder="1" applyAlignment="1">
      <alignment horizontal="center" vertical="center" wrapText="1"/>
    </xf>
    <xf numFmtId="0" fontId="38" fillId="9" borderId="10" xfId="0" applyFont="1" applyFill="1" applyBorder="1" applyAlignment="1">
      <alignment horizontal="center" vertical="center" wrapText="1"/>
    </xf>
    <xf numFmtId="0" fontId="0" fillId="13" borderId="0" xfId="0" applyFill="1" applyAlignment="1" applyProtection="1">
      <alignment horizontal="left" vertical="center"/>
      <protection locked="0"/>
    </xf>
    <xf numFmtId="0" fontId="20" fillId="7" borderId="0" xfId="0" applyFont="1" applyFill="1"/>
    <xf numFmtId="0" fontId="20" fillId="0" borderId="0" xfId="0" applyFont="1"/>
    <xf numFmtId="0" fontId="46" fillId="14" borderId="20" xfId="0" applyFont="1" applyFill="1" applyBorder="1" applyAlignment="1" applyProtection="1">
      <alignment vertical="center" wrapText="1"/>
      <protection locked="0"/>
    </xf>
    <xf numFmtId="0" fontId="48" fillId="14" borderId="20" xfId="0" applyFont="1" applyFill="1" applyBorder="1" applyAlignment="1" applyProtection="1">
      <alignment vertical="center" wrapText="1"/>
      <protection locked="0"/>
    </xf>
    <xf numFmtId="0" fontId="37" fillId="15" borderId="10" xfId="0" applyFont="1" applyFill="1" applyBorder="1" applyAlignment="1">
      <alignment horizontal="center" vertical="center" wrapText="1"/>
    </xf>
    <xf numFmtId="0" fontId="37" fillId="14" borderId="10" xfId="0" applyFont="1" applyFill="1" applyBorder="1" applyAlignment="1">
      <alignment horizontal="center" vertical="center" wrapText="1"/>
    </xf>
    <xf numFmtId="0" fontId="49" fillId="15" borderId="7" xfId="0" applyFont="1" applyFill="1" applyBorder="1" applyAlignment="1">
      <alignment vertical="center" wrapText="1"/>
    </xf>
    <xf numFmtId="0" fontId="45" fillId="15" borderId="24" xfId="0" applyFont="1" applyFill="1" applyBorder="1" applyAlignment="1">
      <alignment horizontal="center" vertical="center" textRotation="90" wrapText="1"/>
    </xf>
    <xf numFmtId="0" fontId="38" fillId="15" borderId="10" xfId="0" applyFont="1" applyFill="1" applyBorder="1" applyAlignment="1">
      <alignment horizontal="center" vertical="center"/>
    </xf>
    <xf numFmtId="14" fontId="38" fillId="15" borderId="10" xfId="0" applyNumberFormat="1" applyFont="1" applyFill="1" applyBorder="1" applyAlignment="1">
      <alignment horizontal="center" vertical="center"/>
    </xf>
    <xf numFmtId="0" fontId="38" fillId="14" borderId="10" xfId="0" applyFont="1" applyFill="1" applyBorder="1" applyAlignment="1">
      <alignment vertical="center" wrapText="1"/>
    </xf>
    <xf numFmtId="0" fontId="42" fillId="14" borderId="10" xfId="0" applyFont="1" applyFill="1" applyBorder="1" applyAlignment="1">
      <alignment horizontal="center" vertical="center"/>
    </xf>
    <xf numFmtId="0" fontId="0" fillId="9" borderId="9" xfId="0" applyFill="1" applyBorder="1"/>
    <xf numFmtId="0" fontId="47" fillId="9" borderId="16" xfId="0" applyFont="1" applyFill="1" applyBorder="1" applyAlignment="1">
      <alignment horizontal="center" vertical="center" wrapText="1"/>
    </xf>
    <xf numFmtId="0" fontId="47" fillId="9" borderId="9" xfId="0" applyFont="1" applyFill="1" applyBorder="1" applyAlignment="1">
      <alignment horizontal="center" vertical="center" wrapText="1"/>
    </xf>
    <xf numFmtId="0" fontId="3" fillId="10" borderId="12" xfId="0" applyFont="1" applyFill="1" applyBorder="1" applyAlignment="1" applyProtection="1">
      <alignment horizontal="left" vertical="center"/>
      <protection locked="0"/>
    </xf>
    <xf numFmtId="0" fontId="38" fillId="15" borderId="10" xfId="0" applyFont="1" applyFill="1" applyBorder="1" applyAlignment="1">
      <alignment horizontal="center" vertical="center" wrapText="1"/>
    </xf>
    <xf numFmtId="0" fontId="38" fillId="14" borderId="10" xfId="0" applyFont="1" applyFill="1" applyBorder="1" applyAlignment="1">
      <alignment horizontal="center" vertical="center" wrapText="1"/>
    </xf>
    <xf numFmtId="14" fontId="38" fillId="15" borderId="10" xfId="0" applyNumberFormat="1" applyFont="1" applyFill="1" applyBorder="1" applyAlignment="1">
      <alignment horizontal="center" vertical="center" wrapText="1"/>
    </xf>
    <xf numFmtId="14" fontId="38" fillId="14" borderId="10" xfId="0" applyNumberFormat="1" applyFont="1" applyFill="1" applyBorder="1" applyAlignment="1">
      <alignment horizontal="center" vertical="center" wrapText="1"/>
    </xf>
    <xf numFmtId="0" fontId="44" fillId="13" borderId="10" xfId="0" applyFont="1" applyFill="1" applyBorder="1" applyAlignment="1">
      <alignment horizontal="center" vertical="center" wrapText="1"/>
    </xf>
    <xf numFmtId="0" fontId="41" fillId="29" borderId="16" xfId="0" applyFont="1" applyFill="1" applyBorder="1" applyAlignment="1">
      <alignment horizontal="center" vertical="center" wrapText="1"/>
    </xf>
    <xf numFmtId="0" fontId="40" fillId="29" borderId="10" xfId="0" applyFont="1" applyFill="1" applyBorder="1" applyAlignment="1">
      <alignment horizontal="center" vertical="center" wrapText="1"/>
    </xf>
    <xf numFmtId="0" fontId="40" fillId="28" borderId="10" xfId="0" applyFont="1" applyFill="1" applyBorder="1" applyAlignment="1">
      <alignment horizontal="center" vertical="center" wrapText="1"/>
    </xf>
    <xf numFmtId="0" fontId="40" fillId="29" borderId="7" xfId="0" applyFont="1" applyFill="1" applyBorder="1" applyAlignment="1">
      <alignment horizontal="center" vertical="center" wrapText="1"/>
    </xf>
    <xf numFmtId="0" fontId="47" fillId="29" borderId="16" xfId="0" applyFont="1" applyFill="1" applyBorder="1" applyAlignment="1">
      <alignment horizontal="center" vertical="center" wrapText="1"/>
    </xf>
    <xf numFmtId="0" fontId="38" fillId="33" borderId="10" xfId="0" applyFont="1" applyFill="1" applyBorder="1" applyAlignment="1">
      <alignment horizontal="center" vertical="center"/>
    </xf>
    <xf numFmtId="0" fontId="46" fillId="15" borderId="4" xfId="0" applyFont="1" applyFill="1" applyBorder="1" applyAlignment="1">
      <alignment vertical="center" wrapText="1"/>
    </xf>
    <xf numFmtId="41" fontId="52" fillId="15" borderId="7" xfId="0" applyNumberFormat="1" applyFont="1" applyFill="1" applyBorder="1" applyAlignment="1" applyProtection="1">
      <alignment horizontal="center" vertical="center" wrapText="1"/>
      <protection locked="0"/>
    </xf>
    <xf numFmtId="0" fontId="46" fillId="14" borderId="21" xfId="0" applyFont="1" applyFill="1" applyBorder="1" applyAlignment="1" applyProtection="1">
      <alignment vertical="center" wrapText="1"/>
      <protection locked="0"/>
    </xf>
    <xf numFmtId="0" fontId="48" fillId="14" borderId="21" xfId="0" applyFont="1" applyFill="1" applyBorder="1" applyAlignment="1" applyProtection="1">
      <alignment vertical="center" wrapText="1"/>
      <protection locked="0"/>
    </xf>
    <xf numFmtId="0" fontId="0" fillId="13" borderId="12" xfId="0" applyFill="1" applyBorder="1" applyAlignment="1" applyProtection="1">
      <alignment horizontal="left" vertical="center"/>
      <protection locked="0"/>
    </xf>
    <xf numFmtId="0" fontId="0" fillId="14" borderId="10" xfId="0" applyFill="1" applyBorder="1" applyAlignment="1" applyProtection="1">
      <alignment horizontal="center" vertical="center"/>
      <protection locked="0"/>
    </xf>
    <xf numFmtId="0" fontId="0" fillId="15" borderId="10" xfId="0" applyFill="1" applyBorder="1" applyAlignment="1" applyProtection="1">
      <alignment horizontal="center" vertical="center"/>
      <protection locked="0"/>
    </xf>
    <xf numFmtId="0" fontId="40" fillId="17" borderId="16" xfId="0" applyFont="1" applyFill="1" applyBorder="1" applyAlignment="1" applyProtection="1">
      <alignment horizontal="center" vertical="center" wrapText="1"/>
      <protection locked="0"/>
    </xf>
    <xf numFmtId="0" fontId="42" fillId="29" borderId="10" xfId="0" applyFont="1" applyFill="1" applyBorder="1" applyAlignment="1" applyProtection="1">
      <alignment horizontal="center" vertical="center"/>
      <protection locked="0"/>
    </xf>
    <xf numFmtId="0" fontId="42" fillId="22" borderId="10" xfId="0" applyFont="1" applyFill="1" applyBorder="1" applyAlignment="1" applyProtection="1">
      <alignment horizontal="center" vertical="center"/>
      <protection locked="0"/>
    </xf>
    <xf numFmtId="0" fontId="42" fillId="29" borderId="7" xfId="0" applyFont="1" applyFill="1" applyBorder="1" applyAlignment="1" applyProtection="1">
      <alignment horizontal="center" vertical="center"/>
      <protection locked="0"/>
    </xf>
    <xf numFmtId="0" fontId="3" fillId="21" borderId="16" xfId="0" applyFont="1" applyFill="1" applyBorder="1" applyAlignment="1" applyProtection="1">
      <alignment horizontal="left" vertical="center"/>
      <protection locked="0"/>
    </xf>
    <xf numFmtId="14" fontId="0" fillId="33" borderId="10" xfId="0" applyNumberFormat="1" applyFill="1" applyBorder="1" applyAlignment="1" applyProtection="1">
      <alignment horizontal="center" vertical="center"/>
      <protection locked="0"/>
    </xf>
    <xf numFmtId="0" fontId="42" fillId="34" borderId="10" xfId="0" applyFont="1" applyFill="1" applyBorder="1" applyAlignment="1" applyProtection="1">
      <alignment horizontal="center" vertical="center"/>
      <protection locked="0"/>
    </xf>
    <xf numFmtId="0" fontId="42" fillId="33" borderId="10" xfId="0" applyFont="1" applyFill="1" applyBorder="1" applyAlignment="1" applyProtection="1">
      <alignment horizontal="center" vertical="center"/>
      <protection locked="0"/>
    </xf>
    <xf numFmtId="0" fontId="42" fillId="34" borderId="7" xfId="0" applyFont="1" applyFill="1" applyBorder="1" applyAlignment="1" applyProtection="1">
      <alignment horizontal="center" vertical="center"/>
      <protection locked="0"/>
    </xf>
    <xf numFmtId="0" fontId="3" fillId="34" borderId="16" xfId="0" applyFont="1" applyFill="1" applyBorder="1" applyAlignment="1" applyProtection="1">
      <alignment horizontal="left" vertical="center"/>
      <protection locked="0"/>
    </xf>
    <xf numFmtId="0" fontId="14" fillId="13" borderId="10" xfId="0" applyFont="1" applyFill="1" applyBorder="1" applyAlignment="1" applyProtection="1">
      <alignment horizontal="center" vertical="center"/>
      <protection locked="0"/>
    </xf>
    <xf numFmtId="0" fontId="42" fillId="12" borderId="10" xfId="0" applyFont="1" applyFill="1" applyBorder="1" applyAlignment="1" applyProtection="1">
      <alignment horizontal="center" vertical="center"/>
      <protection locked="0"/>
    </xf>
    <xf numFmtId="0" fontId="42" fillId="9" borderId="10" xfId="0" applyFont="1" applyFill="1" applyBorder="1" applyAlignment="1" applyProtection="1">
      <alignment horizontal="center" vertical="center"/>
      <protection locked="0"/>
    </xf>
    <xf numFmtId="0" fontId="3" fillId="12" borderId="16" xfId="0" applyFont="1" applyFill="1" applyBorder="1" applyAlignment="1" applyProtection="1">
      <alignment horizontal="left" vertical="center"/>
      <protection locked="0"/>
    </xf>
    <xf numFmtId="0" fontId="14" fillId="10" borderId="10" xfId="0" applyFont="1" applyFill="1" applyBorder="1" applyAlignment="1" applyProtection="1">
      <alignment horizontal="center" vertical="center"/>
      <protection locked="0"/>
    </xf>
    <xf numFmtId="0" fontId="42" fillId="2" borderId="10" xfId="0" applyFont="1" applyFill="1" applyBorder="1" applyAlignment="1" applyProtection="1">
      <alignment horizontal="center" vertical="center"/>
      <protection locked="0"/>
    </xf>
    <xf numFmtId="0" fontId="42" fillId="18" borderId="10" xfId="0" applyFont="1" applyFill="1" applyBorder="1" applyAlignment="1" applyProtection="1">
      <alignment horizontal="center" vertical="center"/>
      <protection locked="0"/>
    </xf>
    <xf numFmtId="0" fontId="3" fillId="2" borderId="16" xfId="0" applyFont="1" applyFill="1" applyBorder="1" applyAlignment="1" applyProtection="1">
      <alignment horizontal="left" vertical="center"/>
      <protection locked="0"/>
    </xf>
    <xf numFmtId="0" fontId="42" fillId="17" borderId="10" xfId="0" applyFont="1" applyFill="1" applyBorder="1" applyAlignment="1" applyProtection="1">
      <alignment horizontal="center" vertical="center"/>
      <protection locked="0"/>
    </xf>
    <xf numFmtId="0" fontId="42" fillId="16" borderId="10" xfId="0" applyFont="1" applyFill="1" applyBorder="1" applyAlignment="1" applyProtection="1">
      <alignment horizontal="center" vertical="center"/>
      <protection locked="0"/>
    </xf>
    <xf numFmtId="0" fontId="3" fillId="17" borderId="16" xfId="0" applyFont="1" applyFill="1" applyBorder="1" applyAlignment="1" applyProtection="1">
      <alignment horizontal="left" vertical="center"/>
      <protection locked="0"/>
    </xf>
    <xf numFmtId="0" fontId="42" fillId="28" borderId="10" xfId="0" applyFont="1" applyFill="1" applyBorder="1" applyAlignment="1" applyProtection="1">
      <alignment horizontal="center" vertical="center"/>
      <protection locked="0"/>
    </xf>
    <xf numFmtId="0" fontId="3" fillId="29" borderId="16" xfId="0" applyFont="1" applyFill="1" applyBorder="1" applyAlignment="1" applyProtection="1">
      <alignment horizontal="left" vertical="center"/>
      <protection locked="0"/>
    </xf>
    <xf numFmtId="0" fontId="12" fillId="14" borderId="10" xfId="0" applyFont="1" applyFill="1" applyBorder="1" applyAlignment="1">
      <alignment horizontal="center" vertical="center"/>
    </xf>
    <xf numFmtId="0" fontId="42" fillId="12" borderId="7" xfId="0" applyFont="1" applyFill="1" applyBorder="1" applyAlignment="1" applyProtection="1">
      <alignment horizontal="center" vertical="center"/>
      <protection locked="0"/>
    </xf>
    <xf numFmtId="0" fontId="42" fillId="2" borderId="7" xfId="0" applyFont="1" applyFill="1" applyBorder="1" applyAlignment="1" applyProtection="1">
      <alignment horizontal="center" vertical="center"/>
      <protection locked="0"/>
    </xf>
    <xf numFmtId="0" fontId="42" fillId="17" borderId="7" xfId="0" applyFont="1" applyFill="1" applyBorder="1" applyAlignment="1" applyProtection="1">
      <alignment horizontal="center" vertical="center"/>
      <protection locked="0"/>
    </xf>
    <xf numFmtId="0" fontId="53" fillId="19" borderId="10" xfId="0" applyFont="1" applyFill="1" applyBorder="1" applyAlignment="1">
      <alignment horizontal="center" vertical="center" wrapText="1"/>
    </xf>
    <xf numFmtId="14" fontId="54" fillId="19" borderId="10" xfId="0" applyNumberFormat="1" applyFont="1" applyFill="1" applyBorder="1" applyAlignment="1">
      <alignment horizontal="center" vertical="center"/>
    </xf>
    <xf numFmtId="0" fontId="55" fillId="30" borderId="10" xfId="0" applyFont="1" applyFill="1" applyBorder="1" applyAlignment="1">
      <alignment horizontal="center" vertical="center" wrapText="1"/>
    </xf>
    <xf numFmtId="14" fontId="56" fillId="30" borderId="10" xfId="0" applyNumberFormat="1" applyFont="1" applyFill="1" applyBorder="1" applyAlignment="1">
      <alignment horizontal="center" vertical="center"/>
    </xf>
    <xf numFmtId="14" fontId="58" fillId="31" borderId="10" xfId="0" applyNumberFormat="1" applyFont="1" applyFill="1" applyBorder="1" applyAlignment="1">
      <alignment horizontal="center" vertical="center"/>
    </xf>
    <xf numFmtId="14" fontId="60" fillId="35" borderId="10" xfId="0" applyNumberFormat="1" applyFont="1" applyFill="1" applyBorder="1" applyAlignment="1">
      <alignment horizontal="center" vertical="center"/>
    </xf>
    <xf numFmtId="14" fontId="62" fillId="32" borderId="10" xfId="0" applyNumberFormat="1" applyFont="1" applyFill="1" applyBorder="1" applyAlignment="1">
      <alignment horizontal="center" vertical="center"/>
    </xf>
    <xf numFmtId="0" fontId="40" fillId="17" borderId="10" xfId="0" applyFont="1" applyFill="1" applyBorder="1" applyAlignment="1">
      <alignment horizontal="center" vertical="center" wrapText="1"/>
    </xf>
    <xf numFmtId="0" fontId="40" fillId="16" borderId="10" xfId="0" applyFont="1" applyFill="1" applyBorder="1" applyAlignment="1">
      <alignment horizontal="center" vertical="center" wrapText="1"/>
    </xf>
    <xf numFmtId="0" fontId="40" fillId="17" borderId="1" xfId="0" applyFont="1" applyFill="1" applyBorder="1" applyAlignment="1">
      <alignment horizontal="center" vertical="center" wrapText="1"/>
    </xf>
    <xf numFmtId="0" fontId="41" fillId="17" borderId="26" xfId="0" applyFont="1" applyFill="1" applyBorder="1" applyAlignment="1">
      <alignment horizontal="center" vertical="center" wrapText="1"/>
    </xf>
    <xf numFmtId="0" fontId="57" fillId="31" borderId="11" xfId="0" applyFont="1" applyFill="1" applyBorder="1" applyAlignment="1">
      <alignment horizontal="center" vertical="center" wrapText="1"/>
    </xf>
    <xf numFmtId="0" fontId="40" fillId="17" borderId="4" xfId="0" applyFont="1" applyFill="1" applyBorder="1" applyAlignment="1">
      <alignment horizontal="center" vertical="center" wrapText="1"/>
    </xf>
    <xf numFmtId="0" fontId="47" fillId="17" borderId="17" xfId="0" applyFont="1" applyFill="1" applyBorder="1" applyAlignment="1">
      <alignment horizontal="center" vertical="center" wrapText="1"/>
    </xf>
    <xf numFmtId="0" fontId="57" fillId="31" borderId="13" xfId="0" applyFont="1" applyFill="1" applyBorder="1" applyAlignment="1">
      <alignment horizontal="center" vertical="center" wrapText="1"/>
    </xf>
    <xf numFmtId="0" fontId="8" fillId="13" borderId="12" xfId="0" applyFont="1" applyFill="1" applyBorder="1" applyAlignment="1">
      <alignment horizontal="center" vertical="center"/>
    </xf>
    <xf numFmtId="0" fontId="7" fillId="13" borderId="12" xfId="0" applyFont="1" applyFill="1" applyBorder="1" applyAlignment="1">
      <alignment horizontal="center" vertical="center"/>
    </xf>
    <xf numFmtId="0" fontId="6" fillId="13" borderId="12" xfId="0" applyFont="1" applyFill="1" applyBorder="1" applyAlignment="1">
      <alignment horizontal="left" vertical="center"/>
    </xf>
    <xf numFmtId="0" fontId="42" fillId="14" borderId="7" xfId="0" applyFont="1" applyFill="1" applyBorder="1" applyAlignment="1">
      <alignment horizontal="center" vertical="center"/>
    </xf>
    <xf numFmtId="0" fontId="42" fillId="15" borderId="7" xfId="0" applyFont="1" applyFill="1" applyBorder="1" applyAlignment="1">
      <alignment horizontal="center" vertical="center"/>
    </xf>
    <xf numFmtId="0" fontId="42" fillId="15" borderId="16" xfId="0" applyFont="1" applyFill="1" applyBorder="1" applyAlignment="1">
      <alignment horizontal="center" vertical="center"/>
    </xf>
    <xf numFmtId="0" fontId="46" fillId="15" borderId="7" xfId="0" applyFont="1" applyFill="1" applyBorder="1" applyAlignment="1">
      <alignment vertical="center" wrapText="1"/>
    </xf>
    <xf numFmtId="0" fontId="63" fillId="0" borderId="0" xfId="0" applyFont="1" applyAlignment="1">
      <alignment horizontal="left" vertical="top" wrapText="1"/>
    </xf>
    <xf numFmtId="0" fontId="63" fillId="0" borderId="0" xfId="0" applyFont="1" applyAlignment="1">
      <alignment horizontal="left" vertical="center" wrapText="1"/>
    </xf>
    <xf numFmtId="0" fontId="12" fillId="0" borderId="0" xfId="0" applyFont="1"/>
    <xf numFmtId="0" fontId="40" fillId="14" borderId="7" xfId="0" applyFont="1" applyFill="1" applyBorder="1" applyAlignment="1">
      <alignment horizontal="center" vertical="center" wrapText="1"/>
    </xf>
    <xf numFmtId="0" fontId="64" fillId="14" borderId="7" xfId="0" applyFont="1" applyFill="1" applyBorder="1" applyAlignment="1">
      <alignment vertical="center" wrapText="1"/>
    </xf>
    <xf numFmtId="0" fontId="47" fillId="14" borderId="16" xfId="0" applyFont="1" applyFill="1" applyBorder="1" applyAlignment="1">
      <alignment horizontal="center" vertical="center" wrapText="1"/>
    </xf>
    <xf numFmtId="0" fontId="51" fillId="15" borderId="7" xfId="0" applyFont="1" applyFill="1" applyBorder="1" applyAlignment="1">
      <alignment vertical="center" wrapText="1"/>
    </xf>
    <xf numFmtId="0" fontId="47" fillId="15" borderId="16" xfId="0" applyFont="1" applyFill="1" applyBorder="1" applyAlignment="1">
      <alignment horizontal="center" vertical="center" wrapText="1"/>
    </xf>
    <xf numFmtId="0" fontId="46" fillId="15" borderId="21" xfId="0" applyFont="1" applyFill="1" applyBorder="1" applyAlignment="1" applyProtection="1">
      <alignment vertical="center" wrapText="1"/>
      <protection locked="0"/>
    </xf>
    <xf numFmtId="0" fontId="48" fillId="15" borderId="21" xfId="0" applyFont="1" applyFill="1" applyBorder="1" applyAlignment="1" applyProtection="1">
      <alignment vertical="center" wrapText="1"/>
      <protection locked="0"/>
    </xf>
    <xf numFmtId="0" fontId="40" fillId="2" borderId="11" xfId="0" applyFont="1" applyFill="1" applyBorder="1" applyAlignment="1">
      <alignment horizontal="center" vertical="center" wrapText="1"/>
    </xf>
    <xf numFmtId="0" fontId="40" fillId="18" borderId="11" xfId="0" applyFont="1" applyFill="1" applyBorder="1" applyAlignment="1">
      <alignment horizontal="center" vertical="center" wrapText="1"/>
    </xf>
    <xf numFmtId="0" fontId="40" fillId="2" borderId="1" xfId="0" applyFont="1" applyFill="1" applyBorder="1" applyAlignment="1" applyProtection="1">
      <alignment horizontal="center" vertical="center" wrapText="1"/>
      <protection locked="0"/>
    </xf>
    <xf numFmtId="0" fontId="41" fillId="2" borderId="26" xfId="0" applyFont="1" applyFill="1" applyBorder="1" applyAlignment="1">
      <alignment horizontal="center" vertical="center" wrapText="1"/>
    </xf>
    <xf numFmtId="0" fontId="59" fillId="35" borderId="11" xfId="0" applyFont="1" applyFill="1" applyBorder="1" applyAlignment="1">
      <alignment horizontal="center" vertical="center" wrapText="1"/>
    </xf>
    <xf numFmtId="0" fontId="40" fillId="12" borderId="1" xfId="0" applyFont="1" applyFill="1" applyBorder="1" applyAlignment="1" applyProtection="1">
      <alignment horizontal="center" vertical="center" wrapText="1"/>
      <protection locked="0"/>
    </xf>
    <xf numFmtId="0" fontId="47" fillId="12" borderId="26" xfId="0" applyFont="1" applyFill="1" applyBorder="1" applyAlignment="1" applyProtection="1">
      <alignment horizontal="center" vertical="center" wrapText="1"/>
      <protection locked="0"/>
    </xf>
    <xf numFmtId="0" fontId="44" fillId="10" borderId="11" xfId="0" applyFont="1" applyFill="1" applyBorder="1" applyAlignment="1">
      <alignment horizontal="center" vertical="center" wrapText="1"/>
    </xf>
    <xf numFmtId="0" fontId="61" fillId="32" borderId="11" xfId="0" applyFont="1" applyFill="1" applyBorder="1" applyAlignment="1">
      <alignment horizontal="center" vertical="center" wrapText="1"/>
    </xf>
    <xf numFmtId="0" fontId="40" fillId="21" borderId="11" xfId="0" applyFont="1" applyFill="1" applyBorder="1" applyAlignment="1">
      <alignment horizontal="center" vertical="center" wrapText="1"/>
    </xf>
    <xf numFmtId="0" fontId="40" fillId="22" borderId="11" xfId="0" applyFont="1" applyFill="1" applyBorder="1" applyAlignment="1">
      <alignment horizontal="center" vertical="center" wrapText="1"/>
    </xf>
    <xf numFmtId="0" fontId="40" fillId="21" borderId="1" xfId="0" applyFont="1" applyFill="1" applyBorder="1" applyAlignment="1">
      <alignment horizontal="center" vertical="center" wrapText="1"/>
    </xf>
    <xf numFmtId="0" fontId="41" fillId="21" borderId="26" xfId="0" applyFont="1" applyFill="1" applyBorder="1" applyAlignment="1">
      <alignment horizontal="center" vertical="center" wrapText="1"/>
    </xf>
    <xf numFmtId="0" fontId="12" fillId="33" borderId="11" xfId="0" applyFont="1" applyFill="1" applyBorder="1" applyAlignment="1">
      <alignment horizontal="center" vertical="center" wrapText="1"/>
    </xf>
    <xf numFmtId="0" fontId="12" fillId="34" borderId="11" xfId="0" applyFont="1" applyFill="1" applyBorder="1" applyAlignment="1">
      <alignment horizontal="center" vertical="center" wrapText="1"/>
    </xf>
    <xf numFmtId="0" fontId="12" fillId="34" borderId="1" xfId="0" applyFont="1" applyFill="1" applyBorder="1" applyAlignment="1">
      <alignment horizontal="center" vertical="center" wrapText="1"/>
    </xf>
    <xf numFmtId="0" fontId="41" fillId="34" borderId="26" xfId="0" applyFont="1" applyFill="1" applyBorder="1" applyAlignment="1">
      <alignment horizontal="center" vertical="center" wrapText="1"/>
    </xf>
    <xf numFmtId="0" fontId="37" fillId="33" borderId="11" xfId="0" applyFont="1" applyFill="1" applyBorder="1" applyAlignment="1">
      <alignment horizontal="center" vertical="center" wrapText="1"/>
    </xf>
    <xf numFmtId="0" fontId="44" fillId="13" borderId="11" xfId="0" applyFont="1" applyFill="1" applyBorder="1" applyAlignment="1">
      <alignment horizontal="center" vertical="center" wrapText="1"/>
    </xf>
    <xf numFmtId="0" fontId="40" fillId="2" borderId="13" xfId="0" applyFont="1" applyFill="1" applyBorder="1" applyAlignment="1" applyProtection="1">
      <alignment horizontal="center" vertical="center" wrapText="1"/>
      <protection locked="0"/>
    </xf>
    <xf numFmtId="0" fontId="40" fillId="18" borderId="13" xfId="0" applyFont="1" applyFill="1" applyBorder="1" applyAlignment="1" applyProtection="1">
      <alignment horizontal="center" vertical="center" wrapText="1"/>
      <protection locked="0"/>
    </xf>
    <xf numFmtId="0" fontId="40" fillId="2" borderId="4" xfId="0" applyFont="1" applyFill="1" applyBorder="1" applyAlignment="1" applyProtection="1">
      <alignment horizontal="center" vertical="center" wrapText="1"/>
      <protection locked="0"/>
    </xf>
    <xf numFmtId="0" fontId="47" fillId="2" borderId="17" xfId="0" applyFont="1" applyFill="1" applyBorder="1" applyAlignment="1" applyProtection="1">
      <alignment horizontal="center" vertical="center" wrapText="1"/>
      <protection locked="0"/>
    </xf>
    <xf numFmtId="0" fontId="59" fillId="35" borderId="13" xfId="0" applyFont="1" applyFill="1" applyBorder="1" applyAlignment="1">
      <alignment horizontal="center" vertical="center" wrapText="1"/>
    </xf>
    <xf numFmtId="0" fontId="40" fillId="12" borderId="13" xfId="0" applyFont="1" applyFill="1" applyBorder="1" applyAlignment="1" applyProtection="1">
      <alignment horizontal="center" vertical="center" wrapText="1"/>
      <protection locked="0"/>
    </xf>
    <xf numFmtId="0" fontId="40" fillId="9" borderId="13" xfId="0" applyFont="1" applyFill="1" applyBorder="1" applyAlignment="1" applyProtection="1">
      <alignment horizontal="center" vertical="center" wrapText="1"/>
      <protection locked="0"/>
    </xf>
    <xf numFmtId="0" fontId="40" fillId="12" borderId="4" xfId="0" applyFont="1" applyFill="1" applyBorder="1" applyAlignment="1" applyProtection="1">
      <alignment horizontal="center" vertical="center" wrapText="1"/>
      <protection locked="0"/>
    </xf>
    <xf numFmtId="0" fontId="47" fillId="12" borderId="17" xfId="0" applyFont="1" applyFill="1" applyBorder="1" applyAlignment="1" applyProtection="1">
      <alignment horizontal="center" vertical="center" wrapText="1"/>
      <protection locked="0"/>
    </xf>
    <xf numFmtId="0" fontId="44" fillId="10" borderId="13" xfId="0" applyFont="1" applyFill="1" applyBorder="1" applyAlignment="1" applyProtection="1">
      <alignment horizontal="center" vertical="center" wrapText="1"/>
      <protection locked="0"/>
    </xf>
    <xf numFmtId="0" fontId="61" fillId="32" borderId="13" xfId="0" applyFont="1" applyFill="1" applyBorder="1" applyAlignment="1">
      <alignment horizontal="center" vertical="center" wrapText="1"/>
    </xf>
    <xf numFmtId="0" fontId="40" fillId="21" borderId="13" xfId="0" applyFont="1" applyFill="1" applyBorder="1" applyAlignment="1">
      <alignment horizontal="center" vertical="center" wrapText="1"/>
    </xf>
    <xf numFmtId="0" fontId="40" fillId="22" borderId="13" xfId="0" applyFont="1" applyFill="1" applyBorder="1" applyAlignment="1">
      <alignment horizontal="center" vertical="center" wrapText="1"/>
    </xf>
    <xf numFmtId="0" fontId="40" fillId="21" borderId="4" xfId="0" applyFont="1" applyFill="1" applyBorder="1" applyAlignment="1">
      <alignment horizontal="center" vertical="center" wrapText="1"/>
    </xf>
    <xf numFmtId="0" fontId="41" fillId="21" borderId="17" xfId="0" applyFont="1" applyFill="1" applyBorder="1" applyAlignment="1">
      <alignment horizontal="center" vertical="center" wrapText="1"/>
    </xf>
    <xf numFmtId="0" fontId="12" fillId="33" borderId="13" xfId="0" applyFont="1" applyFill="1" applyBorder="1" applyAlignment="1">
      <alignment horizontal="center" vertical="center" wrapText="1"/>
    </xf>
    <xf numFmtId="0" fontId="12" fillId="34" borderId="13" xfId="0" applyFont="1" applyFill="1" applyBorder="1" applyAlignment="1">
      <alignment horizontal="center" vertical="center" wrapText="1"/>
    </xf>
    <xf numFmtId="0" fontId="12" fillId="34" borderId="4" xfId="0" applyFont="1" applyFill="1" applyBorder="1" applyAlignment="1">
      <alignment horizontal="center" vertical="center" wrapText="1"/>
    </xf>
    <xf numFmtId="0" fontId="41" fillId="34" borderId="17" xfId="0" applyFont="1" applyFill="1" applyBorder="1" applyAlignment="1">
      <alignment horizontal="center" vertical="center" wrapText="1"/>
    </xf>
    <xf numFmtId="0" fontId="37" fillId="33" borderId="13" xfId="0" applyFont="1" applyFill="1" applyBorder="1" applyAlignment="1">
      <alignment horizontal="center" vertical="center" wrapText="1"/>
    </xf>
    <xf numFmtId="0" fontId="44" fillId="13" borderId="13" xfId="0" applyFont="1" applyFill="1" applyBorder="1" applyAlignment="1">
      <alignment horizontal="center" vertical="center" wrapText="1"/>
    </xf>
    <xf numFmtId="0" fontId="8" fillId="13" borderId="1" xfId="0" applyFont="1" applyFill="1" applyBorder="1" applyAlignment="1">
      <alignment horizontal="center" vertical="center"/>
    </xf>
    <xf numFmtId="0" fontId="0" fillId="13" borderId="2" xfId="0" applyFill="1" applyBorder="1"/>
    <xf numFmtId="0" fontId="0" fillId="13" borderId="3" xfId="0" applyFill="1" applyBorder="1"/>
    <xf numFmtId="0" fontId="6" fillId="13" borderId="4" xfId="0" applyFont="1" applyFill="1" applyBorder="1" applyAlignment="1">
      <alignment horizontal="left" vertical="center"/>
    </xf>
    <xf numFmtId="0" fontId="0" fillId="13" borderId="5" xfId="0" applyFill="1" applyBorder="1"/>
    <xf numFmtId="0" fontId="0" fillId="13" borderId="6" xfId="0" applyFill="1" applyBorder="1"/>
    <xf numFmtId="0" fontId="68" fillId="4" borderId="10" xfId="0" applyFont="1" applyFill="1" applyBorder="1" applyAlignment="1">
      <alignment horizontal="center" vertical="center" wrapText="1"/>
    </xf>
    <xf numFmtId="0" fontId="21" fillId="4" borderId="10" xfId="0" applyFont="1" applyFill="1" applyBorder="1" applyAlignment="1">
      <alignment vertical="center" wrapText="1"/>
    </xf>
    <xf numFmtId="0" fontId="3" fillId="4" borderId="9" xfId="0" applyFont="1" applyFill="1" applyBorder="1" applyAlignment="1" applyProtection="1">
      <alignment vertical="center" wrapText="1"/>
      <protection locked="0"/>
    </xf>
    <xf numFmtId="0" fontId="66" fillId="36" borderId="10" xfId="0" applyFont="1" applyFill="1" applyBorder="1" applyAlignment="1">
      <alignment horizontal="center" vertical="center"/>
    </xf>
    <xf numFmtId="0" fontId="36" fillId="37" borderId="11" xfId="0" applyFont="1" applyFill="1" applyBorder="1" applyAlignment="1">
      <alignment horizontal="center" vertical="center"/>
    </xf>
    <xf numFmtId="0" fontId="20" fillId="37" borderId="1" xfId="0" applyFont="1" applyFill="1" applyBorder="1" applyAlignment="1">
      <alignment vertical="center" wrapText="1"/>
    </xf>
    <xf numFmtId="0" fontId="0" fillId="37" borderId="10" xfId="0" applyFill="1" applyBorder="1" applyAlignment="1">
      <alignment horizontal="center" vertical="center"/>
    </xf>
    <xf numFmtId="0" fontId="0" fillId="37" borderId="10" xfId="0" applyFill="1" applyBorder="1" applyAlignment="1" applyProtection="1">
      <alignment horizontal="center" vertical="center"/>
      <protection locked="0"/>
    </xf>
    <xf numFmtId="0" fontId="21" fillId="38" borderId="1" xfId="0" applyFont="1" applyFill="1" applyBorder="1" applyAlignment="1">
      <alignment vertical="center" wrapText="1"/>
    </xf>
    <xf numFmtId="14" fontId="10" fillId="38" borderId="10" xfId="0" applyNumberFormat="1" applyFont="1" applyFill="1" applyBorder="1" applyAlignment="1" applyProtection="1">
      <alignment horizontal="center" vertical="center"/>
      <protection locked="0"/>
    </xf>
    <xf numFmtId="0" fontId="20" fillId="38" borderId="1" xfId="0" applyFont="1" applyFill="1" applyBorder="1" applyAlignment="1">
      <alignment vertical="center" wrapText="1"/>
    </xf>
    <xf numFmtId="0" fontId="0" fillId="38" borderId="1" xfId="0" applyFill="1" applyBorder="1" applyAlignment="1">
      <alignment vertical="center" wrapText="1"/>
    </xf>
    <xf numFmtId="0" fontId="40" fillId="15" borderId="1" xfId="0" applyFont="1" applyFill="1" applyBorder="1" applyAlignment="1">
      <alignment horizontal="center" vertical="center" wrapText="1"/>
    </xf>
    <xf numFmtId="0" fontId="12" fillId="15" borderId="16" xfId="0" applyFont="1" applyFill="1" applyBorder="1" applyAlignment="1">
      <alignment horizontal="left" vertical="center"/>
    </xf>
    <xf numFmtId="0" fontId="42" fillId="15" borderId="7" xfId="0" applyFont="1" applyFill="1" applyBorder="1" applyAlignment="1">
      <alignment vertical="center" wrapText="1"/>
    </xf>
    <xf numFmtId="0" fontId="43" fillId="15" borderId="11" xfId="0" applyFont="1" applyFill="1" applyBorder="1" applyAlignment="1">
      <alignment horizontal="center" vertical="center" wrapText="1"/>
    </xf>
    <xf numFmtId="0" fontId="6" fillId="10" borderId="0" xfId="0" applyFont="1" applyFill="1" applyAlignment="1">
      <alignment horizontal="left" vertical="center"/>
    </xf>
    <xf numFmtId="0" fontId="3" fillId="16" borderId="4" xfId="0" applyFont="1" applyFill="1" applyBorder="1" applyAlignment="1">
      <alignment horizontal="center" vertical="center"/>
    </xf>
    <xf numFmtId="0" fontId="13" fillId="16" borderId="7" xfId="0" applyFont="1" applyFill="1" applyBorder="1" applyAlignment="1">
      <alignment vertical="center"/>
    </xf>
    <xf numFmtId="0" fontId="13" fillId="16" borderId="8" xfId="0" applyFont="1" applyFill="1" applyBorder="1" applyAlignment="1">
      <alignment vertical="center"/>
    </xf>
    <xf numFmtId="0" fontId="46" fillId="14" borderId="7" xfId="0" applyFont="1" applyFill="1" applyBorder="1" applyAlignment="1">
      <alignment vertical="center" wrapText="1"/>
    </xf>
    <xf numFmtId="0" fontId="48" fillId="14" borderId="7" xfId="0" applyFont="1" applyFill="1" applyBorder="1" applyAlignment="1">
      <alignment vertical="center" wrapText="1"/>
    </xf>
    <xf numFmtId="0" fontId="6" fillId="4" borderId="10" xfId="0" applyFont="1" applyFill="1" applyBorder="1" applyAlignment="1">
      <alignment horizontal="left" vertical="center"/>
    </xf>
    <xf numFmtId="0" fontId="6" fillId="4" borderId="9" xfId="0" applyFont="1" applyFill="1" applyBorder="1" applyAlignment="1">
      <alignment horizontal="left" vertical="center"/>
    </xf>
    <xf numFmtId="0" fontId="1" fillId="2" borderId="10" xfId="0" applyFont="1" applyFill="1" applyBorder="1" applyAlignment="1">
      <alignment horizontal="center" vertical="center"/>
    </xf>
    <xf numFmtId="0" fontId="42" fillId="9" borderId="10" xfId="0" applyFont="1" applyFill="1" applyBorder="1" applyAlignment="1">
      <alignment horizontal="center" vertical="center"/>
    </xf>
    <xf numFmtId="0" fontId="40" fillId="12" borderId="1" xfId="0" applyFont="1" applyFill="1" applyBorder="1" applyAlignment="1">
      <alignment horizontal="center" vertical="center" wrapText="1"/>
    </xf>
    <xf numFmtId="0" fontId="47" fillId="15" borderId="16" xfId="0" applyFont="1" applyFill="1" applyBorder="1" applyAlignment="1">
      <alignment vertical="center" wrapText="1"/>
    </xf>
    <xf numFmtId="0" fontId="63" fillId="15" borderId="16" xfId="0" applyFont="1" applyFill="1" applyBorder="1" applyAlignment="1">
      <alignment vertical="center" wrapText="1"/>
    </xf>
    <xf numFmtId="0" fontId="12" fillId="14" borderId="16" xfId="0" applyFont="1" applyFill="1" applyBorder="1" applyAlignment="1">
      <alignment vertical="center"/>
    </xf>
    <xf numFmtId="0" fontId="12" fillId="14" borderId="16" xfId="0" applyFont="1" applyFill="1" applyBorder="1" applyAlignment="1">
      <alignment horizontal="left" vertical="center"/>
    </xf>
    <xf numFmtId="0" fontId="12" fillId="15" borderId="16" xfId="0" applyFont="1" applyFill="1" applyBorder="1" applyAlignment="1">
      <alignment vertical="center" wrapText="1"/>
    </xf>
    <xf numFmtId="0" fontId="13" fillId="42" borderId="10" xfId="0" applyFont="1" applyFill="1" applyBorder="1" applyAlignment="1">
      <alignment horizontal="center" vertical="center"/>
    </xf>
    <xf numFmtId="0" fontId="3" fillId="16" borderId="11" xfId="0" applyFont="1" applyFill="1" applyBorder="1" applyAlignment="1">
      <alignment horizontal="center" vertical="center"/>
    </xf>
    <xf numFmtId="0" fontId="3" fillId="17" borderId="11" xfId="0" applyFont="1" applyFill="1" applyBorder="1" applyAlignment="1">
      <alignment vertical="center" wrapText="1"/>
    </xf>
    <xf numFmtId="0" fontId="15" fillId="16" borderId="1" xfId="0" applyFont="1" applyFill="1" applyBorder="1" applyAlignment="1">
      <alignment vertical="center" wrapText="1"/>
    </xf>
    <xf numFmtId="0" fontId="46" fillId="17" borderId="29" xfId="0" applyFont="1" applyFill="1" applyBorder="1" applyAlignment="1">
      <alignment horizontal="center" vertical="center" wrapText="1"/>
    </xf>
    <xf numFmtId="0" fontId="15" fillId="16" borderId="12" xfId="0" applyFont="1" applyFill="1" applyBorder="1" applyAlignment="1">
      <alignment vertical="center" wrapText="1"/>
    </xf>
    <xf numFmtId="0" fontId="28" fillId="17" borderId="11" xfId="0" applyFont="1" applyFill="1" applyBorder="1" applyAlignment="1">
      <alignment vertical="center" wrapText="1"/>
    </xf>
    <xf numFmtId="0" fontId="3" fillId="17" borderId="12" xfId="0" applyFont="1" applyFill="1" applyBorder="1" applyAlignment="1">
      <alignment vertical="center" wrapText="1"/>
    </xf>
    <xf numFmtId="0" fontId="3" fillId="16" borderId="12" xfId="0" applyFont="1" applyFill="1" applyBorder="1" applyAlignment="1">
      <alignment vertical="center" wrapText="1"/>
    </xf>
    <xf numFmtId="0" fontId="46" fillId="17" borderId="12" xfId="0" applyFont="1" applyFill="1" applyBorder="1" applyAlignment="1">
      <alignment horizontal="center" vertical="center" wrapText="1"/>
    </xf>
    <xf numFmtId="0" fontId="0" fillId="14" borderId="7" xfId="0" applyFill="1" applyBorder="1" applyAlignment="1" applyProtection="1">
      <alignment horizontal="center" vertical="center"/>
      <protection locked="0"/>
    </xf>
    <xf numFmtId="0" fontId="3" fillId="19" borderId="11" xfId="0" applyFont="1" applyFill="1" applyBorder="1" applyAlignment="1">
      <alignment horizontal="center" vertical="center"/>
    </xf>
    <xf numFmtId="0" fontId="3" fillId="19" borderId="15" xfId="0" applyFont="1" applyFill="1" applyBorder="1" applyAlignment="1">
      <alignment horizontal="center" vertical="center"/>
    </xf>
    <xf numFmtId="0" fontId="17" fillId="19" borderId="15" xfId="0" applyFont="1" applyFill="1" applyBorder="1" applyAlignment="1">
      <alignment vertical="center" wrapText="1"/>
    </xf>
    <xf numFmtId="0" fontId="0" fillId="19" borderId="15" xfId="0" applyFill="1" applyBorder="1"/>
    <xf numFmtId="0" fontId="17" fillId="19" borderId="13" xfId="0" applyFont="1" applyFill="1" applyBorder="1" applyAlignment="1">
      <alignment vertical="center" wrapText="1"/>
    </xf>
    <xf numFmtId="0" fontId="1" fillId="16" borderId="11" xfId="0" applyFont="1" applyFill="1" applyBorder="1" applyAlignment="1">
      <alignment horizontal="center" vertical="center"/>
    </xf>
    <xf numFmtId="0" fontId="26" fillId="16" borderId="13" xfId="0" applyFont="1" applyFill="1" applyBorder="1" applyAlignment="1">
      <alignment horizontal="center" vertical="center"/>
    </xf>
    <xf numFmtId="0" fontId="3" fillId="14" borderId="12" xfId="0" applyFont="1" applyFill="1" applyBorder="1" applyAlignment="1">
      <alignment vertical="center" textRotation="90" wrapText="1"/>
    </xf>
    <xf numFmtId="0" fontId="3" fillId="14" borderId="15" xfId="0" applyFont="1" applyFill="1" applyBorder="1" applyAlignment="1">
      <alignment vertical="center" textRotation="90" wrapText="1"/>
    </xf>
    <xf numFmtId="0" fontId="3" fillId="18" borderId="12" xfId="0" applyFont="1" applyFill="1" applyBorder="1" applyAlignment="1">
      <alignment vertical="center" textRotation="90" wrapText="1"/>
    </xf>
    <xf numFmtId="0" fontId="3" fillId="18" borderId="7" xfId="0" applyFont="1" applyFill="1" applyBorder="1" applyAlignment="1">
      <alignment vertical="center" textRotation="90" wrapText="1"/>
    </xf>
    <xf numFmtId="0" fontId="0" fillId="18" borderId="7" xfId="0" applyFill="1" applyBorder="1" applyAlignment="1" applyProtection="1">
      <alignment horizontal="center" vertical="center"/>
      <protection locked="0"/>
    </xf>
    <xf numFmtId="0" fontId="3" fillId="15" borderId="15" xfId="0" applyFont="1" applyFill="1" applyBorder="1" applyAlignment="1">
      <alignment vertical="center" textRotation="90" wrapText="1"/>
    </xf>
    <xf numFmtId="0" fontId="4" fillId="18" borderId="17" xfId="0" applyFont="1" applyFill="1" applyBorder="1" applyAlignment="1">
      <alignment vertical="center" wrapText="1"/>
    </xf>
    <xf numFmtId="0" fontId="4" fillId="14" borderId="17" xfId="0" applyFont="1" applyFill="1" applyBorder="1" applyAlignment="1">
      <alignment vertical="center" wrapText="1"/>
    </xf>
    <xf numFmtId="0" fontId="12" fillId="18" borderId="16" xfId="0" applyFont="1" applyFill="1" applyBorder="1" applyAlignment="1" applyProtection="1">
      <alignment horizontal="left" vertical="center"/>
      <protection locked="0"/>
    </xf>
    <xf numFmtId="0" fontId="12" fillId="14" borderId="16" xfId="0" applyFont="1" applyFill="1" applyBorder="1" applyAlignment="1" applyProtection="1">
      <alignment horizontal="left" vertical="center"/>
      <protection locked="0"/>
    </xf>
    <xf numFmtId="0" fontId="3" fillId="16" borderId="10" xfId="0" applyFont="1" applyFill="1" applyBorder="1" applyAlignment="1" applyProtection="1">
      <alignment vertical="center" wrapText="1"/>
      <protection locked="0"/>
    </xf>
    <xf numFmtId="0" fontId="45" fillId="37" borderId="1" xfId="0" applyFont="1" applyFill="1" applyBorder="1" applyAlignment="1">
      <alignment vertical="center" wrapText="1"/>
    </xf>
    <xf numFmtId="0" fontId="52" fillId="37" borderId="7" xfId="0" applyFont="1" applyFill="1" applyBorder="1" applyAlignment="1" applyProtection="1">
      <alignment horizontal="center" vertical="center" wrapText="1"/>
      <protection locked="0"/>
    </xf>
    <xf numFmtId="0" fontId="12" fillId="38" borderId="7" xfId="0" applyFont="1" applyFill="1" applyBorder="1" applyAlignment="1" applyProtection="1">
      <alignment horizontal="left" vertical="center" wrapText="1"/>
      <protection locked="0"/>
    </xf>
    <xf numFmtId="0" fontId="0" fillId="0" borderId="2" xfId="0" applyBorder="1"/>
    <xf numFmtId="0" fontId="26" fillId="4" borderId="10" xfId="0" applyFont="1" applyFill="1" applyBorder="1" applyAlignment="1">
      <alignment vertical="center" wrapText="1"/>
    </xf>
    <xf numFmtId="0" fontId="0" fillId="10" borderId="0" xfId="0" applyFill="1"/>
    <xf numFmtId="0" fontId="39" fillId="14" borderId="10" xfId="0" applyFont="1" applyFill="1" applyBorder="1" applyAlignment="1">
      <alignment horizontal="center" vertical="center" wrapText="1"/>
    </xf>
    <xf numFmtId="0" fontId="29" fillId="4" borderId="7" xfId="0" applyFont="1" applyFill="1" applyBorder="1" applyAlignment="1">
      <alignment vertical="center" wrapText="1"/>
    </xf>
    <xf numFmtId="0" fontId="30" fillId="4" borderId="7" xfId="0" applyFont="1" applyFill="1" applyBorder="1" applyAlignment="1">
      <alignment horizontal="center" vertical="center" wrapText="1"/>
    </xf>
    <xf numFmtId="0" fontId="36" fillId="0" borderId="0" xfId="0" applyFont="1"/>
    <xf numFmtId="0" fontId="0" fillId="0" borderId="0" xfId="0" applyAlignment="1">
      <alignment horizontal="center" vertical="center"/>
    </xf>
    <xf numFmtId="0" fontId="0" fillId="0" borderId="0" xfId="0" applyAlignment="1">
      <alignment horizontal="center"/>
    </xf>
    <xf numFmtId="0" fontId="40" fillId="0" borderId="0" xfId="0" applyFont="1" applyAlignment="1">
      <alignment horizontal="center" vertical="center" wrapText="1"/>
    </xf>
    <xf numFmtId="0" fontId="39" fillId="9" borderId="10" xfId="0" applyFont="1" applyFill="1" applyBorder="1" applyAlignment="1">
      <alignment horizontal="center" vertical="center" wrapText="1"/>
    </xf>
    <xf numFmtId="0" fontId="30" fillId="4" borderId="10" xfId="0" applyFont="1" applyFill="1" applyBorder="1" applyAlignment="1">
      <alignment horizontal="center" vertical="center" wrapText="1"/>
    </xf>
    <xf numFmtId="0" fontId="30" fillId="14" borderId="10" xfId="0" applyFont="1" applyFill="1" applyBorder="1" applyAlignment="1">
      <alignment horizontal="center" vertical="center" wrapText="1"/>
    </xf>
    <xf numFmtId="0" fontId="74" fillId="4" borderId="7" xfId="0" applyFont="1" applyFill="1" applyBorder="1" applyAlignment="1">
      <alignment horizontal="center" vertical="center" wrapText="1"/>
    </xf>
    <xf numFmtId="0" fontId="75" fillId="4" borderId="10" xfId="0" applyFont="1" applyFill="1" applyBorder="1" applyAlignment="1">
      <alignment horizontal="center" vertical="center" wrapText="1"/>
    </xf>
    <xf numFmtId="0" fontId="43" fillId="9" borderId="10" xfId="0" applyFont="1" applyFill="1" applyBorder="1" applyAlignment="1">
      <alignment vertical="center" wrapText="1"/>
    </xf>
    <xf numFmtId="0" fontId="15" fillId="14" borderId="10" xfId="0" applyFont="1" applyFill="1" applyBorder="1" applyAlignment="1">
      <alignment vertical="center" wrapText="1"/>
    </xf>
    <xf numFmtId="0" fontId="43" fillId="14" borderId="10" xfId="0" applyFont="1" applyFill="1" applyBorder="1" applyAlignment="1">
      <alignment vertical="center" wrapText="1"/>
    </xf>
    <xf numFmtId="0" fontId="11" fillId="14" borderId="10" xfId="0" applyFont="1" applyFill="1" applyBorder="1" applyAlignment="1">
      <alignment vertical="center" wrapText="1"/>
    </xf>
    <xf numFmtId="0" fontId="15" fillId="9" borderId="31" xfId="0" applyFont="1" applyFill="1" applyBorder="1" applyAlignment="1">
      <alignment vertical="center" wrapText="1"/>
    </xf>
    <xf numFmtId="0" fontId="30" fillId="9" borderId="31" xfId="0" applyFont="1" applyFill="1" applyBorder="1" applyAlignment="1">
      <alignment horizontal="center" vertical="center" wrapText="1"/>
    </xf>
    <xf numFmtId="0" fontId="15" fillId="14" borderId="31" xfId="0" applyFont="1" applyFill="1" applyBorder="1" applyAlignment="1">
      <alignment vertical="center" wrapText="1"/>
    </xf>
    <xf numFmtId="0" fontId="30" fillId="14" borderId="31" xfId="0" applyFont="1" applyFill="1" applyBorder="1" applyAlignment="1">
      <alignment horizontal="center" vertical="center" wrapText="1"/>
    </xf>
    <xf numFmtId="0" fontId="15" fillId="4" borderId="10" xfId="0" applyFont="1" applyFill="1" applyBorder="1" applyAlignment="1">
      <alignment vertical="center" wrapText="1"/>
    </xf>
    <xf numFmtId="0" fontId="47" fillId="9" borderId="31" xfId="0" applyFont="1" applyFill="1" applyBorder="1" applyAlignment="1">
      <alignment horizontal="center" vertical="center" wrapText="1"/>
    </xf>
    <xf numFmtId="0" fontId="15" fillId="4" borderId="31" xfId="0" applyFont="1" applyFill="1" applyBorder="1" applyAlignment="1">
      <alignment vertical="center" wrapText="1"/>
    </xf>
    <xf numFmtId="0" fontId="47" fillId="4" borderId="31" xfId="0" applyFont="1" applyFill="1" applyBorder="1" applyAlignment="1">
      <alignment horizontal="center" vertical="center" wrapText="1"/>
    </xf>
    <xf numFmtId="0" fontId="30" fillId="4" borderId="31" xfId="0" applyFont="1" applyFill="1" applyBorder="1" applyAlignment="1">
      <alignment horizontal="center" vertical="center" wrapText="1"/>
    </xf>
    <xf numFmtId="0" fontId="4" fillId="4" borderId="31" xfId="0" applyFont="1" applyFill="1" applyBorder="1" applyAlignment="1">
      <alignment vertical="center" wrapText="1"/>
    </xf>
    <xf numFmtId="0" fontId="76" fillId="14" borderId="7" xfId="0" applyFont="1" applyFill="1" applyBorder="1" applyAlignment="1">
      <alignment horizontal="center" vertical="center" wrapText="1"/>
    </xf>
    <xf numFmtId="0" fontId="77" fillId="14" borderId="7" xfId="0" applyFont="1" applyFill="1" applyBorder="1" applyAlignment="1">
      <alignment horizontal="center" vertical="center" wrapText="1"/>
    </xf>
    <xf numFmtId="0" fontId="0" fillId="0" borderId="0" xfId="0" applyAlignment="1">
      <alignment horizontal="center" vertical="center" wrapText="1"/>
    </xf>
    <xf numFmtId="0" fontId="71" fillId="4" borderId="10" xfId="0" applyFont="1" applyFill="1" applyBorder="1" applyAlignment="1">
      <alignment horizontal="right"/>
    </xf>
    <xf numFmtId="0" fontId="71" fillId="4" borderId="0" xfId="0" applyFont="1" applyFill="1" applyAlignment="1">
      <alignment horizontal="right"/>
    </xf>
    <xf numFmtId="0" fontId="78" fillId="43" borderId="10" xfId="0" applyFont="1" applyFill="1" applyBorder="1" applyAlignment="1">
      <alignment horizontal="center" vertical="center" wrapText="1"/>
    </xf>
    <xf numFmtId="0" fontId="39" fillId="46" borderId="10" xfId="0" applyFont="1" applyFill="1" applyBorder="1" applyAlignment="1">
      <alignment horizontal="center" vertical="center" wrapText="1"/>
    </xf>
    <xf numFmtId="0" fontId="30" fillId="43" borderId="31"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8" borderId="31" xfId="0" applyFont="1" applyFill="1" applyBorder="1" applyAlignment="1">
      <alignment horizontal="center" vertical="center" wrapText="1"/>
    </xf>
    <xf numFmtId="0" fontId="79" fillId="48" borderId="10" xfId="0" applyFont="1" applyFill="1" applyBorder="1" applyAlignment="1">
      <alignment horizontal="center" vertical="center" wrapText="1"/>
    </xf>
    <xf numFmtId="0" fontId="82" fillId="48" borderId="10" xfId="0" applyFont="1" applyFill="1" applyBorder="1" applyAlignment="1">
      <alignment horizontal="center" vertical="center" wrapText="1"/>
    </xf>
    <xf numFmtId="0" fontId="8" fillId="49" borderId="31" xfId="0" applyFont="1" applyFill="1" applyBorder="1" applyAlignment="1">
      <alignment horizontal="center" vertical="center" wrapText="1"/>
    </xf>
    <xf numFmtId="0" fontId="79" fillId="49" borderId="10" xfId="0" applyFont="1" applyFill="1" applyBorder="1" applyAlignment="1">
      <alignment horizontal="center" vertical="center" wrapText="1"/>
    </xf>
    <xf numFmtId="0" fontId="80" fillId="49" borderId="10" xfId="0" applyFont="1" applyFill="1" applyBorder="1" applyAlignment="1">
      <alignment horizontal="center" vertical="center" wrapText="1"/>
    </xf>
    <xf numFmtId="0" fontId="8" fillId="50" borderId="31" xfId="0" applyFont="1" applyFill="1" applyBorder="1" applyAlignment="1">
      <alignment horizontal="center" vertical="center" wrapText="1"/>
    </xf>
    <xf numFmtId="0" fontId="79" fillId="50" borderId="10" xfId="0" applyFont="1" applyFill="1" applyBorder="1" applyAlignment="1">
      <alignment horizontal="center" vertical="center" wrapText="1"/>
    </xf>
    <xf numFmtId="0" fontId="82" fillId="50" borderId="7" xfId="0" applyFont="1" applyFill="1" applyBorder="1" applyAlignment="1">
      <alignment horizontal="center" vertical="center" wrapText="1"/>
    </xf>
    <xf numFmtId="0" fontId="82" fillId="50" borderId="10" xfId="0" applyFont="1" applyFill="1" applyBorder="1" applyAlignment="1">
      <alignment horizontal="center" vertical="center" wrapText="1"/>
    </xf>
    <xf numFmtId="0" fontId="81" fillId="50" borderId="10" xfId="0" applyFont="1" applyFill="1" applyBorder="1" applyAlignment="1">
      <alignment horizontal="center" vertical="center" wrapText="1"/>
    </xf>
    <xf numFmtId="0" fontId="40" fillId="45" borderId="10" xfId="0" applyFont="1" applyFill="1" applyBorder="1" applyAlignment="1">
      <alignment horizontal="center" vertical="center" wrapText="1"/>
    </xf>
    <xf numFmtId="0" fontId="42" fillId="45" borderId="10" xfId="0" applyFont="1" applyFill="1" applyBorder="1" applyAlignment="1">
      <alignment horizontal="center" vertical="center"/>
    </xf>
    <xf numFmtId="0" fontId="30" fillId="50" borderId="31" xfId="0" applyFont="1" applyFill="1" applyBorder="1" applyAlignment="1">
      <alignment horizontal="center" vertical="center" wrapText="1"/>
    </xf>
    <xf numFmtId="0" fontId="73" fillId="50" borderId="10" xfId="0" applyFont="1" applyFill="1" applyBorder="1" applyAlignment="1">
      <alignment horizontal="center" vertical="center" wrapText="1"/>
    </xf>
    <xf numFmtId="0" fontId="4" fillId="50" borderId="31" xfId="0" applyFont="1" applyFill="1" applyBorder="1" applyAlignment="1">
      <alignment vertical="center" wrapText="1"/>
    </xf>
    <xf numFmtId="0" fontId="43" fillId="50" borderId="10" xfId="0" applyFont="1" applyFill="1" applyBorder="1" applyAlignment="1">
      <alignment vertical="center" wrapText="1"/>
    </xf>
    <xf numFmtId="0" fontId="4" fillId="48" borderId="31" xfId="0" applyFont="1" applyFill="1" applyBorder="1" applyAlignment="1">
      <alignment vertical="center" wrapText="1"/>
    </xf>
    <xf numFmtId="0" fontId="11" fillId="48" borderId="10" xfId="0" applyFont="1" applyFill="1" applyBorder="1" applyAlignment="1">
      <alignment vertical="center" wrapText="1"/>
    </xf>
    <xf numFmtId="0" fontId="77" fillId="48" borderId="7" xfId="0" applyFont="1" applyFill="1" applyBorder="1" applyAlignment="1">
      <alignment horizontal="center" vertical="center" wrapText="1"/>
    </xf>
    <xf numFmtId="0" fontId="30" fillId="49" borderId="31" xfId="0" applyFont="1" applyFill="1" applyBorder="1" applyAlignment="1">
      <alignment horizontal="center" vertical="center" wrapText="1"/>
    </xf>
    <xf numFmtId="0" fontId="39" fillId="49" borderId="10" xfId="0" applyFont="1" applyFill="1" applyBorder="1" applyAlignment="1">
      <alignment horizontal="center" vertical="center" wrapText="1"/>
    </xf>
    <xf numFmtId="0" fontId="76" fillId="49" borderId="10" xfId="0" applyFont="1" applyFill="1" applyBorder="1" applyAlignment="1">
      <alignment horizontal="center" vertical="center" wrapText="1"/>
    </xf>
    <xf numFmtId="0" fontId="46" fillId="9" borderId="7" xfId="0" applyFont="1" applyFill="1" applyBorder="1" applyAlignment="1">
      <alignment horizontal="center" vertical="center" wrapText="1"/>
    </xf>
    <xf numFmtId="0" fontId="45" fillId="9" borderId="7" xfId="0" applyFont="1" applyFill="1" applyBorder="1" applyAlignment="1">
      <alignment horizontal="center" vertical="center" wrapText="1"/>
    </xf>
    <xf numFmtId="0" fontId="83" fillId="50" borderId="7" xfId="0" applyFont="1" applyFill="1" applyBorder="1" applyAlignment="1">
      <alignment horizontal="center" vertical="center" wrapText="1"/>
    </xf>
    <xf numFmtId="0" fontId="84" fillId="50" borderId="10" xfId="0" applyFont="1" applyFill="1" applyBorder="1" applyAlignment="1">
      <alignment horizontal="center" vertical="center" wrapText="1"/>
    </xf>
    <xf numFmtId="0" fontId="85" fillId="50" borderId="10" xfId="0" applyFont="1" applyFill="1" applyBorder="1" applyAlignment="1">
      <alignment horizontal="center" vertical="center" wrapText="1"/>
    </xf>
    <xf numFmtId="0" fontId="84" fillId="9" borderId="7" xfId="0" applyFont="1" applyFill="1" applyBorder="1" applyAlignment="1">
      <alignment horizontal="center" vertical="center" wrapText="1"/>
    </xf>
    <xf numFmtId="0" fontId="85" fillId="9" borderId="7" xfId="0" applyFont="1" applyFill="1" applyBorder="1" applyAlignment="1">
      <alignment horizontal="center" vertical="center" wrapText="1"/>
    </xf>
    <xf numFmtId="0" fontId="84" fillId="14" borderId="7" xfId="0" applyFont="1" applyFill="1" applyBorder="1" applyAlignment="1">
      <alignment horizontal="center" vertical="center" wrapText="1"/>
    </xf>
    <xf numFmtId="0" fontId="85" fillId="14" borderId="7" xfId="0" applyFont="1" applyFill="1" applyBorder="1" applyAlignment="1">
      <alignment horizontal="center" vertical="center" wrapText="1"/>
    </xf>
    <xf numFmtId="0" fontId="75" fillId="0" borderId="0" xfId="0" applyFont="1" applyAlignment="1">
      <alignment horizontal="center" vertical="center" wrapText="1"/>
    </xf>
    <xf numFmtId="0" fontId="74" fillId="0" borderId="0" xfId="0" applyFont="1" applyAlignment="1">
      <alignment horizontal="center" vertical="center" wrapText="1"/>
    </xf>
    <xf numFmtId="0" fontId="78" fillId="0" borderId="0" xfId="0" applyFont="1" applyAlignment="1">
      <alignment horizontal="center" vertical="center" wrapText="1"/>
    </xf>
    <xf numFmtId="0" fontId="84" fillId="4" borderId="7" xfId="0" applyFont="1" applyFill="1" applyBorder="1" applyAlignment="1">
      <alignment horizontal="center" vertical="center" wrapText="1"/>
    </xf>
    <xf numFmtId="0" fontId="85" fillId="4" borderId="7" xfId="0" applyFont="1" applyFill="1" applyBorder="1" applyAlignment="1">
      <alignment horizontal="center" vertical="center" wrapText="1"/>
    </xf>
    <xf numFmtId="0" fontId="82" fillId="4" borderId="10" xfId="0" applyFont="1" applyFill="1" applyBorder="1" applyAlignment="1">
      <alignment horizontal="center" vertical="center" wrapText="1"/>
    </xf>
    <xf numFmtId="0" fontId="77" fillId="4" borderId="7" xfId="0" applyFont="1" applyFill="1" applyBorder="1" applyAlignment="1">
      <alignment horizontal="center" vertical="center" wrapText="1"/>
    </xf>
    <xf numFmtId="0" fontId="82" fillId="4" borderId="7" xfId="0" applyFont="1" applyFill="1" applyBorder="1" applyAlignment="1">
      <alignment horizontal="center" vertical="center" wrapText="1"/>
    </xf>
    <xf numFmtId="0" fontId="85" fillId="4" borderId="10" xfId="0" applyFont="1" applyFill="1" applyBorder="1" applyAlignment="1">
      <alignment horizontal="center" vertical="center" wrapText="1"/>
    </xf>
    <xf numFmtId="0" fontId="76" fillId="43" borderId="10" xfId="0" applyFont="1" applyFill="1" applyBorder="1" applyAlignment="1">
      <alignment horizontal="center" vertical="center" wrapText="1"/>
    </xf>
    <xf numFmtId="0" fontId="80" fillId="43" borderId="10" xfId="0" applyFont="1" applyFill="1" applyBorder="1" applyAlignment="1">
      <alignment horizontal="center" vertical="center" wrapText="1"/>
    </xf>
    <xf numFmtId="0" fontId="76" fillId="4" borderId="10" xfId="0" applyFont="1" applyFill="1" applyBorder="1" applyAlignment="1">
      <alignment horizontal="center" vertical="center" wrapText="1"/>
    </xf>
    <xf numFmtId="0" fontId="80" fillId="4" borderId="10" xfId="0" applyFont="1" applyFill="1" applyBorder="1" applyAlignment="1">
      <alignment horizontal="center" vertical="center" wrapText="1"/>
    </xf>
    <xf numFmtId="0" fontId="13" fillId="6" borderId="10" xfId="0" applyFont="1" applyFill="1" applyBorder="1" applyAlignment="1">
      <alignment horizontal="center"/>
    </xf>
    <xf numFmtId="0" fontId="6" fillId="13" borderId="8" xfId="0" applyFont="1" applyFill="1" applyBorder="1" applyAlignment="1">
      <alignment horizontal="left" vertical="center"/>
    </xf>
    <xf numFmtId="0" fontId="48" fillId="14" borderId="33" xfId="0" applyFont="1" applyFill="1" applyBorder="1" applyAlignment="1" applyProtection="1">
      <alignment vertical="center" wrapText="1"/>
      <protection locked="0"/>
    </xf>
    <xf numFmtId="0" fontId="64" fillId="14" borderId="34" xfId="0" applyFont="1" applyFill="1" applyBorder="1" applyAlignment="1" applyProtection="1">
      <alignment vertical="center" wrapText="1"/>
      <protection locked="0"/>
    </xf>
    <xf numFmtId="0" fontId="15" fillId="15" borderId="34" xfId="0" applyFont="1" applyFill="1" applyBorder="1" applyAlignment="1" applyProtection="1">
      <alignment vertical="center" wrapText="1"/>
      <protection locked="0"/>
    </xf>
    <xf numFmtId="14" fontId="50" fillId="14" borderId="37" xfId="0" applyNumberFormat="1" applyFont="1" applyFill="1" applyBorder="1" applyAlignment="1">
      <alignment horizontal="center" vertical="center" wrapText="1"/>
    </xf>
    <xf numFmtId="0" fontId="3" fillId="10" borderId="0" xfId="0" applyFont="1" applyFill="1" applyAlignment="1" applyProtection="1">
      <alignment horizontal="left" vertical="center"/>
      <protection locked="0"/>
    </xf>
    <xf numFmtId="0" fontId="46" fillId="9" borderId="11" xfId="0" applyFont="1" applyFill="1" applyBorder="1" applyAlignment="1">
      <alignment horizontal="center" vertical="center" wrapText="1"/>
    </xf>
    <xf numFmtId="0" fontId="40" fillId="55" borderId="16" xfId="0" applyFont="1" applyFill="1" applyBorder="1" applyAlignment="1">
      <alignment horizontal="center" vertical="center" wrapText="1"/>
    </xf>
    <xf numFmtId="0" fontId="46" fillId="55" borderId="26" xfId="0" applyFont="1" applyFill="1" applyBorder="1" applyAlignment="1">
      <alignment horizontal="center" vertical="center" wrapText="1"/>
    </xf>
    <xf numFmtId="0" fontId="42" fillId="55" borderId="16" xfId="0" applyFont="1" applyFill="1" applyBorder="1" applyAlignment="1">
      <alignment horizontal="center" vertical="center"/>
    </xf>
    <xf numFmtId="14" fontId="38" fillId="12" borderId="10" xfId="0" applyNumberFormat="1" applyFont="1" applyFill="1" applyBorder="1" applyAlignment="1">
      <alignment horizontal="center" vertical="center" wrapText="1"/>
    </xf>
    <xf numFmtId="0" fontId="45" fillId="9" borderId="10" xfId="0" applyFont="1" applyFill="1" applyBorder="1" applyAlignment="1">
      <alignment vertical="center" wrapText="1"/>
    </xf>
    <xf numFmtId="0" fontId="70" fillId="14" borderId="9" xfId="0" applyFont="1" applyFill="1" applyBorder="1" applyAlignment="1">
      <alignment vertical="center" wrapText="1"/>
    </xf>
    <xf numFmtId="0" fontId="93" fillId="58" borderId="33" xfId="0" applyFont="1" applyFill="1" applyBorder="1" applyAlignment="1">
      <alignment vertical="center" textRotation="90" wrapText="1"/>
    </xf>
    <xf numFmtId="0" fontId="30" fillId="57" borderId="36" xfId="0" applyFont="1" applyFill="1" applyBorder="1" applyAlignment="1" applyProtection="1">
      <alignment horizontal="center" vertical="center" wrapText="1"/>
      <protection locked="0"/>
    </xf>
    <xf numFmtId="0" fontId="0" fillId="57" borderId="34" xfId="0" applyFill="1" applyBorder="1" applyAlignment="1">
      <alignment vertical="center" wrapText="1"/>
    </xf>
    <xf numFmtId="0" fontId="15" fillId="57" borderId="37" xfId="0" applyFont="1" applyFill="1" applyBorder="1" applyAlignment="1" applyProtection="1">
      <alignment vertical="center" wrapText="1"/>
      <protection locked="0"/>
    </xf>
    <xf numFmtId="0" fontId="0" fillId="57" borderId="37" xfId="0" applyFill="1" applyBorder="1"/>
    <xf numFmtId="0" fontId="46" fillId="58" borderId="9" xfId="0" applyFont="1" applyFill="1" applyBorder="1" applyAlignment="1" applyProtection="1">
      <alignment vertical="center" wrapText="1"/>
      <protection locked="0"/>
    </xf>
    <xf numFmtId="0" fontId="42" fillId="14" borderId="10" xfId="0" applyFont="1" applyFill="1" applyBorder="1" applyAlignment="1" applyProtection="1">
      <alignment horizontal="center" vertical="center" wrapText="1"/>
      <protection locked="0"/>
    </xf>
    <xf numFmtId="0" fontId="42" fillId="15" borderId="10" xfId="0" applyFont="1" applyFill="1" applyBorder="1" applyAlignment="1" applyProtection="1">
      <alignment horizontal="center" vertical="center" wrapText="1"/>
      <protection locked="0"/>
    </xf>
    <xf numFmtId="0" fontId="13" fillId="18" borderId="10" xfId="0" applyFont="1" applyFill="1" applyBorder="1" applyAlignment="1">
      <alignment horizontal="center" vertical="center" wrapText="1"/>
    </xf>
    <xf numFmtId="0" fontId="40" fillId="18" borderId="16" xfId="0" applyFont="1" applyFill="1" applyBorder="1" applyAlignment="1" applyProtection="1">
      <alignment horizontal="center" vertical="center" wrapText="1"/>
      <protection locked="0"/>
    </xf>
    <xf numFmtId="0" fontId="94" fillId="18" borderId="15" xfId="0" applyFont="1" applyFill="1" applyBorder="1" applyAlignment="1">
      <alignment horizontal="center" vertical="center" wrapText="1"/>
    </xf>
    <xf numFmtId="0" fontId="45" fillId="58" borderId="34" xfId="0" applyFont="1" applyFill="1" applyBorder="1" applyAlignment="1" applyProtection="1">
      <alignment horizontal="center" vertical="center" wrapText="1"/>
      <protection locked="0"/>
    </xf>
    <xf numFmtId="14" fontId="50" fillId="57" borderId="10" xfId="0" applyNumberFormat="1" applyFont="1" applyFill="1" applyBorder="1" applyAlignment="1">
      <alignment horizontal="center" vertical="center" wrapText="1"/>
    </xf>
    <xf numFmtId="0" fontId="42" fillId="14" borderId="35" xfId="0" applyFont="1" applyFill="1" applyBorder="1" applyAlignment="1" applyProtection="1">
      <alignment horizontal="center" vertical="center" wrapText="1"/>
      <protection locked="0"/>
    </xf>
    <xf numFmtId="0" fontId="40" fillId="2" borderId="16" xfId="0" applyFont="1" applyFill="1" applyBorder="1" applyAlignment="1" applyProtection="1">
      <alignment horizontal="center" vertical="center" wrapText="1"/>
      <protection locked="0"/>
    </xf>
    <xf numFmtId="0" fontId="94" fillId="2" borderId="10" xfId="0" applyFont="1" applyFill="1" applyBorder="1" applyAlignment="1">
      <alignment horizontal="center" vertical="center" wrapText="1"/>
    </xf>
    <xf numFmtId="0" fontId="94" fillId="18" borderId="10" xfId="0" applyFont="1" applyFill="1" applyBorder="1" applyAlignment="1">
      <alignment horizontal="center" vertical="center" wrapText="1"/>
    </xf>
    <xf numFmtId="0" fontId="42" fillId="58" borderId="10" xfId="0" applyFont="1" applyFill="1" applyBorder="1" applyAlignment="1" applyProtection="1">
      <alignment horizontal="center" vertical="center" wrapText="1"/>
      <protection locked="0"/>
    </xf>
    <xf numFmtId="0" fontId="45" fillId="58" borderId="9" xfId="0" applyFont="1" applyFill="1" applyBorder="1" applyAlignment="1" applyProtection="1">
      <alignment vertical="center" wrapText="1"/>
      <protection locked="0"/>
    </xf>
    <xf numFmtId="0" fontId="13" fillId="2" borderId="10"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94" fillId="2" borderId="15"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2" fillId="11" borderId="35" xfId="0" applyFont="1" applyFill="1" applyBorder="1" applyAlignment="1">
      <alignment horizontal="center" vertical="center" wrapText="1"/>
    </xf>
    <xf numFmtId="0" fontId="42" fillId="11" borderId="10" xfId="0" applyFont="1" applyFill="1" applyBorder="1" applyAlignment="1">
      <alignment horizontal="center" vertical="center" wrapText="1"/>
    </xf>
    <xf numFmtId="0" fontId="42" fillId="11" borderId="37" xfId="0" applyFont="1" applyFill="1" applyBorder="1" applyAlignment="1">
      <alignment horizontal="center" vertical="center" wrapText="1"/>
    </xf>
    <xf numFmtId="0" fontId="46" fillId="11" borderId="35" xfId="0" applyFont="1" applyFill="1" applyBorder="1" applyAlignment="1" applyProtection="1">
      <alignment horizontal="center" vertical="center" wrapText="1"/>
      <protection locked="0"/>
    </xf>
    <xf numFmtId="0" fontId="40" fillId="11" borderId="10" xfId="0" applyFont="1" applyFill="1" applyBorder="1" applyAlignment="1" applyProtection="1">
      <alignment vertical="center" wrapText="1"/>
      <protection locked="0"/>
    </xf>
    <xf numFmtId="0" fontId="46" fillId="11" borderId="37" xfId="0" applyFont="1" applyFill="1" applyBorder="1" applyAlignment="1" applyProtection="1">
      <alignment horizontal="center" vertical="center" wrapText="1"/>
      <protection locked="0"/>
    </xf>
    <xf numFmtId="0" fontId="6" fillId="13" borderId="38" xfId="0" applyFont="1" applyFill="1" applyBorder="1" applyAlignment="1">
      <alignment horizontal="left" vertical="center"/>
    </xf>
    <xf numFmtId="0" fontId="93" fillId="58" borderId="22" xfId="0" applyFont="1" applyFill="1" applyBorder="1" applyAlignment="1">
      <alignment vertical="center" textRotation="90" wrapText="1"/>
    </xf>
    <xf numFmtId="0" fontId="0" fillId="57" borderId="24" xfId="0" applyFill="1" applyBorder="1" applyAlignment="1">
      <alignment vertical="center" wrapText="1"/>
    </xf>
    <xf numFmtId="0" fontId="45" fillId="56" borderId="24" xfId="0" applyFont="1" applyFill="1" applyBorder="1" applyAlignment="1" applyProtection="1">
      <alignment horizontal="center" vertical="center" wrapText="1"/>
      <protection locked="0"/>
    </xf>
    <xf numFmtId="0" fontId="30" fillId="57" borderId="39" xfId="0" applyFont="1" applyFill="1" applyBorder="1" applyAlignment="1" applyProtection="1">
      <alignment horizontal="center" vertical="center" wrapText="1"/>
      <protection locked="0"/>
    </xf>
    <xf numFmtId="0" fontId="15" fillId="18" borderId="33" xfId="0" applyFont="1" applyFill="1" applyBorder="1" applyAlignment="1">
      <alignment horizontal="center" vertical="center" wrapText="1"/>
    </xf>
    <xf numFmtId="0" fontId="29" fillId="3" borderId="34" xfId="0" applyFont="1" applyFill="1" applyBorder="1" applyAlignment="1">
      <alignment horizontal="center" vertical="center" wrapText="1"/>
    </xf>
    <xf numFmtId="0" fontId="41" fillId="18" borderId="36" xfId="0" applyFont="1" applyFill="1" applyBorder="1" applyAlignment="1">
      <alignment vertical="center" wrapText="1"/>
    </xf>
    <xf numFmtId="0" fontId="63" fillId="18" borderId="35" xfId="0" applyFont="1" applyFill="1" applyBorder="1" applyAlignment="1" applyProtection="1">
      <alignment horizontal="center" vertical="center"/>
      <protection locked="0"/>
    </xf>
    <xf numFmtId="14" fontId="12" fillId="3" borderId="10" xfId="0" applyNumberFormat="1" applyFont="1" applyFill="1" applyBorder="1" applyAlignment="1" applyProtection="1">
      <alignment horizontal="left" vertical="center"/>
      <protection locked="0"/>
    </xf>
    <xf numFmtId="14" fontId="12" fillId="18" borderId="37" xfId="0" applyNumberFormat="1" applyFont="1" applyFill="1" applyBorder="1" applyAlignment="1" applyProtection="1">
      <alignment horizontal="left" vertical="center"/>
      <protection locked="0"/>
    </xf>
    <xf numFmtId="0" fontId="38" fillId="22" borderId="10" xfId="0" applyFont="1" applyFill="1" applyBorder="1" applyAlignment="1" applyProtection="1">
      <alignment vertical="center" wrapText="1"/>
      <protection locked="0"/>
    </xf>
    <xf numFmtId="0" fontId="95" fillId="60" borderId="10" xfId="0" applyFont="1" applyFill="1" applyBorder="1" applyAlignment="1" applyProtection="1">
      <alignment vertical="center" wrapText="1"/>
      <protection locked="0"/>
    </xf>
    <xf numFmtId="0" fontId="15" fillId="60" borderId="10" xfId="0" applyFont="1" applyFill="1" applyBorder="1" applyAlignment="1" applyProtection="1">
      <alignment vertical="center" wrapText="1"/>
      <protection locked="0"/>
    </xf>
    <xf numFmtId="0" fontId="15" fillId="22" borderId="10" xfId="0" applyFont="1" applyFill="1" applyBorder="1" applyAlignment="1" applyProtection="1">
      <alignment horizontal="center" vertical="center" wrapText="1"/>
      <protection locked="0"/>
    </xf>
    <xf numFmtId="0" fontId="15" fillId="22" borderId="10" xfId="0" applyFont="1" applyFill="1" applyBorder="1" applyAlignment="1" applyProtection="1">
      <alignment vertical="center" wrapText="1"/>
      <protection locked="0"/>
    </xf>
    <xf numFmtId="0" fontId="38" fillId="14" borderId="10" xfId="0" applyFont="1" applyFill="1" applyBorder="1" applyAlignment="1" applyProtection="1">
      <alignment vertical="center" wrapText="1"/>
      <protection locked="0"/>
    </xf>
    <xf numFmtId="0" fontId="95" fillId="15" borderId="10" xfId="0" applyFont="1" applyFill="1" applyBorder="1" applyAlignment="1" applyProtection="1">
      <alignment vertical="center" wrapText="1"/>
      <protection locked="0"/>
    </xf>
    <xf numFmtId="0" fontId="15" fillId="15" borderId="10" xfId="0" applyFont="1" applyFill="1" applyBorder="1" applyAlignment="1" applyProtection="1">
      <alignment vertical="center" wrapText="1"/>
      <protection locked="0"/>
    </xf>
    <xf numFmtId="0" fontId="15" fillId="14" borderId="10" xfId="0" applyFont="1" applyFill="1" applyBorder="1" applyAlignment="1" applyProtection="1">
      <alignment horizontal="center" vertical="center" wrapText="1"/>
      <protection locked="0"/>
    </xf>
    <xf numFmtId="0" fontId="15" fillId="14" borderId="10" xfId="0" applyFont="1" applyFill="1" applyBorder="1" applyAlignment="1" applyProtection="1">
      <alignment vertical="center" wrapText="1"/>
      <protection locked="0"/>
    </xf>
    <xf numFmtId="0" fontId="50" fillId="59" borderId="7" xfId="0" applyFont="1" applyFill="1" applyBorder="1" applyAlignment="1" applyProtection="1">
      <alignment horizontal="center" vertical="center" wrapText="1"/>
      <protection locked="0"/>
    </xf>
    <xf numFmtId="14" fontId="38" fillId="21" borderId="10" xfId="0" applyNumberFormat="1" applyFont="1" applyFill="1" applyBorder="1" applyAlignment="1" applyProtection="1">
      <alignment vertical="center" wrapText="1"/>
      <protection locked="0"/>
    </xf>
    <xf numFmtId="0" fontId="15" fillId="21" borderId="10" xfId="0" applyFont="1" applyFill="1" applyBorder="1" applyAlignment="1" applyProtection="1">
      <alignment horizontal="center" vertical="center"/>
      <protection locked="0"/>
    </xf>
    <xf numFmtId="0" fontId="15" fillId="21" borderId="10" xfId="0" applyFont="1" applyFill="1" applyBorder="1" applyAlignment="1" applyProtection="1">
      <alignment vertical="center" wrapText="1"/>
      <protection locked="0"/>
    </xf>
    <xf numFmtId="14" fontId="38" fillId="15" borderId="10" xfId="0" applyNumberFormat="1" applyFont="1" applyFill="1" applyBorder="1" applyAlignment="1" applyProtection="1">
      <alignment vertical="center" wrapText="1"/>
      <protection locked="0"/>
    </xf>
    <xf numFmtId="0" fontId="15" fillId="23" borderId="10" xfId="0" applyFont="1" applyFill="1" applyBorder="1" applyAlignment="1" applyProtection="1">
      <alignment vertical="center" wrapText="1"/>
      <protection locked="0"/>
    </xf>
    <xf numFmtId="0" fontId="15" fillId="15" borderId="10" xfId="0" applyFont="1" applyFill="1" applyBorder="1" applyAlignment="1" applyProtection="1">
      <alignment horizontal="center" vertical="center"/>
      <protection locked="0"/>
    </xf>
    <xf numFmtId="0" fontId="0" fillId="61" borderId="7" xfId="0" applyFill="1" applyBorder="1"/>
    <xf numFmtId="0" fontId="15" fillId="22" borderId="10" xfId="0" applyFont="1" applyFill="1" applyBorder="1" applyAlignment="1" applyProtection="1">
      <alignment horizontal="center" vertical="center"/>
      <protection locked="0"/>
    </xf>
    <xf numFmtId="14" fontId="38" fillId="14" borderId="10" xfId="0" applyNumberFormat="1" applyFont="1" applyFill="1" applyBorder="1" applyAlignment="1" applyProtection="1">
      <alignment vertical="center" wrapText="1"/>
      <protection locked="0"/>
    </xf>
    <xf numFmtId="0" fontId="15" fillId="14" borderId="10" xfId="0" applyFont="1" applyFill="1" applyBorder="1" applyAlignment="1" applyProtection="1">
      <alignment horizontal="center" vertical="center"/>
      <protection locked="0"/>
    </xf>
    <xf numFmtId="0" fontId="0" fillId="62" borderId="7" xfId="0" applyFill="1" applyBorder="1"/>
    <xf numFmtId="14" fontId="38" fillId="22" borderId="10" xfId="0" applyNumberFormat="1" applyFont="1" applyFill="1" applyBorder="1" applyAlignment="1" applyProtection="1">
      <alignment vertical="center" wrapText="1"/>
      <protection locked="0"/>
    </xf>
    <xf numFmtId="0" fontId="2" fillId="59" borderId="0" xfId="0" applyFont="1" applyFill="1" applyAlignment="1">
      <alignment horizontal="center" vertical="center"/>
    </xf>
    <xf numFmtId="0" fontId="42" fillId="17" borderId="1" xfId="0" applyFont="1" applyFill="1" applyBorder="1" applyAlignment="1">
      <alignment vertical="center" wrapText="1"/>
    </xf>
    <xf numFmtId="0" fontId="3" fillId="16" borderId="11" xfId="0" applyFont="1" applyFill="1" applyBorder="1" applyAlignment="1">
      <alignment vertical="center" wrapText="1"/>
    </xf>
    <xf numFmtId="0" fontId="20" fillId="16" borderId="10" xfId="0" applyFont="1" applyFill="1" applyBorder="1" applyAlignment="1">
      <alignment vertical="center" wrapText="1"/>
    </xf>
    <xf numFmtId="14" fontId="12" fillId="16" borderId="7" xfId="0" applyNumberFormat="1" applyFont="1" applyFill="1" applyBorder="1" applyAlignment="1" applyProtection="1">
      <alignment horizontal="center" vertical="center"/>
      <protection locked="0"/>
    </xf>
    <xf numFmtId="0" fontId="3" fillId="20" borderId="11" xfId="0" applyFont="1" applyFill="1" applyBorder="1" applyAlignment="1">
      <alignment horizontal="center" vertical="center"/>
    </xf>
    <xf numFmtId="0" fontId="0" fillId="17" borderId="10" xfId="0" applyFill="1" applyBorder="1" applyAlignment="1">
      <alignment horizontal="center" vertical="center"/>
    </xf>
    <xf numFmtId="0" fontId="20" fillId="20" borderId="10" xfId="0" applyFont="1" applyFill="1" applyBorder="1" applyAlignment="1">
      <alignment horizontal="center" vertical="center"/>
    </xf>
    <xf numFmtId="0" fontId="3" fillId="20" borderId="10" xfId="0" applyFont="1" applyFill="1" applyBorder="1" applyAlignment="1">
      <alignment horizontal="center" vertical="center"/>
    </xf>
    <xf numFmtId="14" fontId="45" fillId="17" borderId="7" xfId="0" applyNumberFormat="1" applyFont="1" applyFill="1" applyBorder="1" applyAlignment="1" applyProtection="1">
      <alignment horizontal="center" vertical="center" wrapText="1"/>
      <protection locked="0"/>
    </xf>
    <xf numFmtId="0" fontId="18" fillId="17" borderId="16" xfId="0" applyFont="1" applyFill="1" applyBorder="1" applyAlignment="1">
      <alignment vertical="center" wrapText="1"/>
    </xf>
    <xf numFmtId="0" fontId="27" fillId="17" borderId="16" xfId="0" applyFont="1" applyFill="1" applyBorder="1" applyAlignment="1" applyProtection="1">
      <alignment vertical="center" wrapText="1"/>
      <protection locked="0"/>
    </xf>
    <xf numFmtId="0" fontId="96" fillId="9" borderId="33" xfId="0" applyFont="1" applyFill="1" applyBorder="1" applyAlignment="1">
      <alignment horizontal="center" vertical="center" wrapText="1"/>
    </xf>
    <xf numFmtId="0" fontId="96" fillId="9" borderId="34" xfId="0" applyFont="1" applyFill="1" applyBorder="1" applyAlignment="1">
      <alignment horizontal="center" vertical="center" wrapText="1"/>
    </xf>
    <xf numFmtId="0" fontId="18" fillId="11" borderId="34" xfId="0" applyFont="1" applyFill="1" applyBorder="1" applyAlignment="1">
      <alignment vertical="center" wrapText="1"/>
    </xf>
    <xf numFmtId="0" fontId="0" fillId="11" borderId="34" xfId="0" applyFill="1" applyBorder="1" applyAlignment="1">
      <alignment vertical="center" wrapText="1"/>
    </xf>
    <xf numFmtId="0" fontId="97" fillId="63" borderId="34" xfId="0" applyFont="1" applyFill="1" applyBorder="1" applyAlignment="1">
      <alignment horizontal="center" vertical="center" wrapText="1"/>
    </xf>
    <xf numFmtId="0" fontId="97" fillId="9" borderId="34" xfId="0" applyFont="1" applyFill="1" applyBorder="1" applyAlignment="1">
      <alignment horizontal="center" vertical="center" wrapText="1"/>
    </xf>
    <xf numFmtId="14" fontId="98" fillId="9" borderId="35" xfId="0" applyNumberFormat="1" applyFont="1" applyFill="1" applyBorder="1" applyAlignment="1">
      <alignment horizontal="center" vertical="center"/>
    </xf>
    <xf numFmtId="14" fontId="12" fillId="11" borderId="10" xfId="0" applyNumberFormat="1" applyFont="1" applyFill="1" applyBorder="1" applyProtection="1">
      <protection locked="0"/>
    </xf>
    <xf numFmtId="0" fontId="42" fillId="11" borderId="10" xfId="0" applyFont="1" applyFill="1" applyBorder="1" applyAlignment="1" applyProtection="1">
      <alignment horizontal="center" vertical="center"/>
      <protection locked="0"/>
    </xf>
    <xf numFmtId="14" fontId="98" fillId="63" borderId="10" xfId="0" applyNumberFormat="1" applyFont="1" applyFill="1" applyBorder="1" applyAlignment="1">
      <alignment horizontal="center" vertical="center"/>
    </xf>
    <xf numFmtId="14" fontId="98" fillId="9" borderId="10" xfId="0" applyNumberFormat="1" applyFont="1" applyFill="1" applyBorder="1" applyAlignment="1">
      <alignment horizontal="center" vertical="center"/>
    </xf>
    <xf numFmtId="0" fontId="0" fillId="13" borderId="42" xfId="0" applyFill="1" applyBorder="1"/>
    <xf numFmtId="0" fontId="12" fillId="14" borderId="11" xfId="0" applyFont="1" applyFill="1" applyBorder="1" applyAlignment="1">
      <alignment horizontal="center" vertical="center"/>
    </xf>
    <xf numFmtId="0" fontId="38" fillId="15" borderId="11" xfId="0" applyFont="1" applyFill="1" applyBorder="1" applyAlignment="1">
      <alignment horizontal="center" vertical="center" wrapText="1"/>
    </xf>
    <xf numFmtId="0" fontId="38" fillId="14" borderId="11" xfId="0" applyFont="1" applyFill="1" applyBorder="1" applyAlignment="1">
      <alignment horizontal="center" vertical="center" wrapText="1"/>
    </xf>
    <xf numFmtId="14" fontId="38" fillId="15" borderId="11" xfId="0" applyNumberFormat="1" applyFont="1" applyFill="1" applyBorder="1" applyAlignment="1">
      <alignment horizontal="center" vertical="center" wrapText="1"/>
    </xf>
    <xf numFmtId="14" fontId="38" fillId="14" borderId="11" xfId="0" applyNumberFormat="1" applyFont="1" applyFill="1" applyBorder="1" applyAlignment="1">
      <alignment horizontal="center" vertical="center" wrapText="1"/>
    </xf>
    <xf numFmtId="14" fontId="98" fillId="9" borderId="43" xfId="0" applyNumberFormat="1" applyFont="1" applyFill="1" applyBorder="1" applyAlignment="1">
      <alignment horizontal="center" vertical="center"/>
    </xf>
    <xf numFmtId="14" fontId="12" fillId="11" borderId="11" xfId="0" applyNumberFormat="1" applyFont="1" applyFill="1" applyBorder="1" applyProtection="1">
      <protection locked="0"/>
    </xf>
    <xf numFmtId="0" fontId="42" fillId="11" borderId="11" xfId="0" applyFont="1" applyFill="1" applyBorder="1" applyAlignment="1" applyProtection="1">
      <alignment horizontal="center" vertical="center"/>
      <protection locked="0"/>
    </xf>
    <xf numFmtId="0" fontId="12" fillId="0" borderId="2" xfId="0" applyFont="1" applyBorder="1" applyAlignment="1">
      <alignment horizontal="center"/>
    </xf>
    <xf numFmtId="0" fontId="99" fillId="63" borderId="34" xfId="0" applyFont="1" applyFill="1" applyBorder="1" applyAlignment="1">
      <alignment horizontal="center" vertical="center" wrapText="1"/>
    </xf>
    <xf numFmtId="0" fontId="99" fillId="9" borderId="34" xfId="0" applyFont="1" applyFill="1" applyBorder="1" applyAlignment="1">
      <alignment horizontal="center" vertical="center" wrapText="1"/>
    </xf>
    <xf numFmtId="0" fontId="100" fillId="9" borderId="34" xfId="0" applyFont="1" applyFill="1" applyBorder="1" applyAlignment="1">
      <alignment horizontal="center" vertical="center" wrapText="1"/>
    </xf>
    <xf numFmtId="0" fontId="0" fillId="12" borderId="45" xfId="0" applyFill="1" applyBorder="1" applyAlignment="1">
      <alignment vertical="center" wrapText="1"/>
    </xf>
    <xf numFmtId="0" fontId="0" fillId="12" borderId="44" xfId="0" applyFill="1" applyBorder="1" applyAlignment="1">
      <alignment horizontal="center" vertical="center" wrapText="1"/>
    </xf>
    <xf numFmtId="14" fontId="51" fillId="12" borderId="7" xfId="0" applyNumberFormat="1" applyFont="1" applyFill="1" applyBorder="1" applyAlignment="1" applyProtection="1">
      <alignment vertical="center" wrapText="1"/>
      <protection locked="0"/>
    </xf>
    <xf numFmtId="14" fontId="51" fillId="12" borderId="1" xfId="0" applyNumberFormat="1" applyFont="1" applyFill="1" applyBorder="1" applyAlignment="1" applyProtection="1">
      <alignment vertical="center" wrapText="1"/>
      <protection locked="0"/>
    </xf>
    <xf numFmtId="0" fontId="63" fillId="64" borderId="44" xfId="0" applyFont="1" applyFill="1" applyBorder="1" applyAlignment="1">
      <alignment horizontal="center" vertical="center" wrapText="1"/>
    </xf>
    <xf numFmtId="0" fontId="29" fillId="64" borderId="45" xfId="0" applyFont="1" applyFill="1" applyBorder="1" applyAlignment="1">
      <alignment vertical="center" wrapText="1"/>
    </xf>
    <xf numFmtId="14" fontId="51" fillId="64" borderId="7" xfId="0" applyNumberFormat="1" applyFont="1" applyFill="1" applyBorder="1" applyAlignment="1" applyProtection="1">
      <alignment vertical="center" wrapText="1"/>
      <protection locked="0"/>
    </xf>
    <xf numFmtId="14" fontId="51" fillId="64" borderId="1" xfId="0" applyNumberFormat="1" applyFont="1" applyFill="1" applyBorder="1" applyAlignment="1" applyProtection="1">
      <alignment vertical="center" wrapText="1"/>
      <protection locked="0"/>
    </xf>
    <xf numFmtId="0" fontId="18" fillId="64" borderId="44" xfId="0" applyFont="1" applyFill="1" applyBorder="1" applyAlignment="1">
      <alignment horizontal="center" vertical="center" wrapText="1"/>
    </xf>
    <xf numFmtId="0" fontId="12" fillId="12" borderId="44" xfId="0" applyFont="1" applyFill="1" applyBorder="1" applyAlignment="1">
      <alignment horizontal="center" vertical="center" wrapText="1"/>
    </xf>
    <xf numFmtId="0" fontId="20" fillId="12" borderId="45" xfId="0" applyFont="1" applyFill="1" applyBorder="1" applyAlignment="1">
      <alignment vertical="center" wrapText="1"/>
    </xf>
    <xf numFmtId="14" fontId="63" fillId="64" borderId="16" xfId="0" applyNumberFormat="1" applyFont="1" applyFill="1" applyBorder="1" applyAlignment="1" applyProtection="1">
      <alignment vertical="center"/>
      <protection locked="0"/>
    </xf>
    <xf numFmtId="14" fontId="12" fillId="11" borderId="10" xfId="0" applyNumberFormat="1" applyFont="1" applyFill="1" applyBorder="1" applyAlignment="1" applyProtection="1">
      <alignment horizontal="center" vertical="center"/>
      <protection locked="0"/>
    </xf>
    <xf numFmtId="14" fontId="12" fillId="11" borderId="11" xfId="0" applyNumberFormat="1" applyFont="1" applyFill="1" applyBorder="1" applyAlignment="1" applyProtection="1">
      <alignment horizontal="center" vertical="center"/>
      <protection locked="0"/>
    </xf>
    <xf numFmtId="14" fontId="63" fillId="12" borderId="16" xfId="0" applyNumberFormat="1" applyFont="1" applyFill="1" applyBorder="1" applyAlignment="1" applyProtection="1">
      <alignment vertical="center"/>
      <protection locked="0"/>
    </xf>
    <xf numFmtId="0" fontId="0" fillId="16" borderId="10" xfId="0" applyFill="1" applyBorder="1" applyAlignment="1">
      <alignment horizontal="center" vertical="center"/>
    </xf>
    <xf numFmtId="0" fontId="17" fillId="41" borderId="0" xfId="0" applyFont="1" applyFill="1" applyAlignment="1">
      <alignment vertical="center" wrapText="1"/>
    </xf>
    <xf numFmtId="0" fontId="0" fillId="41" borderId="0" xfId="0" applyFill="1" applyAlignment="1">
      <alignment vertical="center"/>
    </xf>
    <xf numFmtId="0" fontId="0" fillId="41" borderId="0" xfId="0" applyFill="1"/>
    <xf numFmtId="0" fontId="1" fillId="3" borderId="10" xfId="0" applyFont="1" applyFill="1" applyBorder="1" applyAlignment="1">
      <alignment horizontal="center" vertical="center"/>
    </xf>
    <xf numFmtId="0" fontId="50" fillId="2" borderId="10" xfId="0" applyFont="1" applyFill="1" applyBorder="1" applyAlignment="1">
      <alignment vertical="center" wrapText="1"/>
    </xf>
    <xf numFmtId="0" fontId="50" fillId="18" borderId="10" xfId="0" applyFont="1" applyFill="1" applyBorder="1" applyAlignment="1">
      <alignment vertical="center" wrapText="1"/>
    </xf>
    <xf numFmtId="0" fontId="28" fillId="2" borderId="10" xfId="0" applyFont="1" applyFill="1" applyBorder="1" applyAlignment="1">
      <alignment vertical="center" wrapText="1"/>
    </xf>
    <xf numFmtId="0" fontId="21" fillId="2" borderId="10" xfId="0" applyFont="1" applyFill="1" applyBorder="1" applyAlignment="1">
      <alignment vertical="center" wrapText="1"/>
    </xf>
    <xf numFmtId="0" fontId="21" fillId="18" borderId="10" xfId="0" applyFont="1" applyFill="1" applyBorder="1" applyAlignment="1">
      <alignment vertical="center" wrapText="1"/>
    </xf>
    <xf numFmtId="0" fontId="0" fillId="2" borderId="10" xfId="0" applyFill="1" applyBorder="1"/>
    <xf numFmtId="0" fontId="0" fillId="2" borderId="10" xfId="0" applyFill="1" applyBorder="1" applyAlignment="1">
      <alignment vertical="center"/>
    </xf>
    <xf numFmtId="0" fontId="0" fillId="2" borderId="10" xfId="0" applyFill="1" applyBorder="1" applyAlignment="1">
      <alignment horizontal="left" vertical="top"/>
    </xf>
    <xf numFmtId="0" fontId="18" fillId="2" borderId="10" xfId="0" applyFont="1" applyFill="1" applyBorder="1" applyAlignment="1">
      <alignment vertical="center"/>
    </xf>
    <xf numFmtId="0" fontId="17" fillId="41" borderId="12" xfId="0" applyFont="1" applyFill="1" applyBorder="1" applyAlignment="1">
      <alignment vertical="center" wrapText="1"/>
    </xf>
    <xf numFmtId="0" fontId="0" fillId="41" borderId="12" xfId="0" applyFill="1" applyBorder="1"/>
    <xf numFmtId="0" fontId="8" fillId="41" borderId="0" xfId="0" applyFont="1" applyFill="1" applyAlignment="1">
      <alignment horizontal="center" vertical="center"/>
    </xf>
    <xf numFmtId="0" fontId="7" fillId="41" borderId="0" xfId="0" applyFont="1" applyFill="1" applyAlignment="1">
      <alignment horizontal="center" vertical="center"/>
    </xf>
    <xf numFmtId="0" fontId="0" fillId="16" borderId="7" xfId="0" applyFill="1" applyBorder="1" applyAlignment="1">
      <alignment vertical="center"/>
    </xf>
    <xf numFmtId="0" fontId="0" fillId="41" borderId="12" xfId="0" applyFill="1" applyBorder="1" applyAlignment="1">
      <alignment vertical="center"/>
    </xf>
    <xf numFmtId="0" fontId="0" fillId="41" borderId="12" xfId="0" applyFill="1" applyBorder="1" applyAlignment="1">
      <alignment horizontal="left" vertical="top"/>
    </xf>
    <xf numFmtId="0" fontId="18" fillId="11" borderId="34" xfId="0" applyFont="1" applyFill="1" applyBorder="1" applyAlignment="1">
      <alignment horizontal="center" vertical="center" wrapText="1"/>
    </xf>
    <xf numFmtId="0" fontId="0" fillId="12" borderId="45" xfId="0" applyFill="1" applyBorder="1" applyAlignment="1">
      <alignment horizontal="center" vertical="center" wrapText="1"/>
    </xf>
    <xf numFmtId="0" fontId="12" fillId="11" borderId="34" xfId="0" applyFont="1" applyFill="1" applyBorder="1" applyAlignment="1">
      <alignment horizontal="center" vertical="center" wrapText="1"/>
    </xf>
    <xf numFmtId="0" fontId="63" fillId="64" borderId="45" xfId="0" applyFont="1" applyFill="1" applyBorder="1" applyAlignment="1">
      <alignment horizontal="center" vertical="center" wrapText="1"/>
    </xf>
    <xf numFmtId="0" fontId="12" fillId="12" borderId="45" xfId="0" applyFont="1" applyFill="1" applyBorder="1" applyAlignment="1">
      <alignment horizontal="center" vertical="center" wrapText="1"/>
    </xf>
    <xf numFmtId="0" fontId="1" fillId="2" borderId="10" xfId="0" applyFont="1" applyFill="1" applyBorder="1" applyAlignment="1">
      <alignment vertical="center" wrapText="1"/>
    </xf>
    <xf numFmtId="14" fontId="12" fillId="2" borderId="10" xfId="0" applyNumberFormat="1" applyFont="1" applyFill="1" applyBorder="1" applyAlignment="1" applyProtection="1">
      <alignment horizontal="center" vertical="center" wrapText="1"/>
      <protection locked="0"/>
    </xf>
    <xf numFmtId="0" fontId="101" fillId="18" borderId="7" xfId="0" applyFont="1" applyFill="1" applyBorder="1" applyAlignment="1" applyProtection="1">
      <alignment vertical="center" wrapText="1"/>
      <protection locked="0"/>
    </xf>
    <xf numFmtId="14" fontId="12" fillId="18" borderId="10" xfId="0" applyNumberFormat="1" applyFont="1" applyFill="1" applyBorder="1" applyAlignment="1" applyProtection="1">
      <alignment horizontal="center" vertical="center" wrapText="1"/>
      <protection locked="0"/>
    </xf>
    <xf numFmtId="0" fontId="8" fillId="41" borderId="12" xfId="0" applyFont="1" applyFill="1" applyBorder="1" applyAlignment="1">
      <alignment horizontal="center" vertical="center"/>
    </xf>
    <xf numFmtId="0" fontId="7" fillId="41" borderId="12" xfId="0" applyFont="1" applyFill="1" applyBorder="1" applyAlignment="1">
      <alignment horizontal="center" vertical="center"/>
    </xf>
    <xf numFmtId="0" fontId="0" fillId="41" borderId="0" xfId="0" applyFill="1" applyAlignment="1">
      <alignment horizontal="left" vertical="top"/>
    </xf>
    <xf numFmtId="0" fontId="45" fillId="18" borderId="11" xfId="0" applyFont="1" applyFill="1" applyBorder="1" applyAlignment="1">
      <alignment vertical="center" wrapText="1"/>
    </xf>
    <xf numFmtId="0" fontId="45" fillId="2" borderId="11" xfId="0" applyFont="1" applyFill="1" applyBorder="1" applyAlignment="1">
      <alignment vertical="center" wrapText="1"/>
    </xf>
    <xf numFmtId="0" fontId="71" fillId="2" borderId="11" xfId="0" applyFont="1" applyFill="1" applyBorder="1" applyAlignment="1">
      <alignment horizontal="center" vertical="center"/>
    </xf>
    <xf numFmtId="0" fontId="71" fillId="2" borderId="13" xfId="0" applyFont="1" applyFill="1" applyBorder="1" applyAlignment="1">
      <alignment horizontal="center" vertical="center"/>
    </xf>
    <xf numFmtId="0" fontId="41" fillId="2" borderId="10" xfId="0" applyFont="1" applyFill="1" applyBorder="1" applyAlignment="1" applyProtection="1">
      <alignment horizontal="left" vertical="center"/>
      <protection locked="0"/>
    </xf>
    <xf numFmtId="0" fontId="52" fillId="2" borderId="10" xfId="0" applyFont="1" applyFill="1" applyBorder="1" applyAlignment="1" applyProtection="1">
      <alignment horizontal="center" vertical="center" wrapText="1"/>
      <protection locked="0"/>
    </xf>
    <xf numFmtId="0" fontId="52" fillId="18" borderId="10" xfId="0" applyFont="1" applyFill="1" applyBorder="1" applyAlignment="1" applyProtection="1">
      <alignment horizontal="center" vertical="center" wrapText="1"/>
      <protection locked="0"/>
    </xf>
    <xf numFmtId="0" fontId="1" fillId="18" borderId="13" xfId="0" applyFont="1" applyFill="1" applyBorder="1" applyAlignment="1">
      <alignment horizontal="center" vertical="center" wrapText="1"/>
    </xf>
    <xf numFmtId="0" fontId="1" fillId="18" borderId="11" xfId="0" applyFont="1" applyFill="1" applyBorder="1" applyAlignment="1">
      <alignment horizontal="center" vertical="center" wrapText="1"/>
    </xf>
    <xf numFmtId="0" fontId="8" fillId="2" borderId="10" xfId="0" applyFont="1" applyFill="1" applyBorder="1" applyAlignment="1" applyProtection="1">
      <alignment horizontal="center" vertical="center" wrapText="1"/>
      <protection locked="0"/>
    </xf>
    <xf numFmtId="0" fontId="45" fillId="18" borderId="13" xfId="0" applyFont="1" applyFill="1" applyBorder="1" applyAlignment="1">
      <alignment horizontal="center" vertical="center" wrapText="1"/>
    </xf>
    <xf numFmtId="0" fontId="101" fillId="18" borderId="7" xfId="0" applyFont="1" applyFill="1" applyBorder="1" applyAlignment="1">
      <alignment vertical="center" wrapText="1"/>
    </xf>
    <xf numFmtId="0" fontId="28" fillId="18" borderId="16" xfId="0" applyFont="1" applyFill="1" applyBorder="1" applyAlignment="1">
      <alignment horizontal="center" vertical="center" wrapText="1"/>
    </xf>
    <xf numFmtId="0" fontId="50" fillId="18" borderId="16" xfId="0" applyFont="1" applyFill="1" applyBorder="1" applyAlignment="1">
      <alignment horizontal="center" vertical="center" wrapText="1"/>
    </xf>
    <xf numFmtId="0" fontId="28" fillId="18" borderId="16" xfId="0" applyFont="1" applyFill="1" applyBorder="1" applyAlignment="1" applyProtection="1">
      <alignment vertical="center" wrapText="1"/>
      <protection locked="0"/>
    </xf>
    <xf numFmtId="0" fontId="28" fillId="2" borderId="10" xfId="0" applyFont="1" applyFill="1" applyBorder="1" applyAlignment="1" applyProtection="1">
      <alignment vertical="center" wrapText="1"/>
      <protection locked="0"/>
    </xf>
    <xf numFmtId="0" fontId="28" fillId="18" borderId="10" xfId="0" applyFont="1" applyFill="1" applyBorder="1" applyAlignment="1" applyProtection="1">
      <alignment vertical="center" wrapText="1"/>
      <protection locked="0"/>
    </xf>
    <xf numFmtId="0" fontId="4" fillId="2" borderId="10" xfId="0" applyFont="1" applyFill="1" applyBorder="1" applyAlignment="1" applyProtection="1">
      <alignment vertical="center" wrapText="1"/>
      <protection locked="0"/>
    </xf>
    <xf numFmtId="0" fontId="4" fillId="18" borderId="10" xfId="0" applyFont="1" applyFill="1" applyBorder="1" applyAlignment="1" applyProtection="1">
      <alignment vertical="center" wrapText="1"/>
      <protection locked="0"/>
    </xf>
    <xf numFmtId="0" fontId="46" fillId="16" borderId="12" xfId="0" applyFont="1" applyFill="1" applyBorder="1" applyAlignment="1">
      <alignment horizontal="center" vertical="center" wrapText="1"/>
    </xf>
    <xf numFmtId="0" fontId="45" fillId="16" borderId="10" xfId="0" applyFont="1" applyFill="1" applyBorder="1" applyAlignment="1">
      <alignment vertical="center" wrapText="1"/>
    </xf>
    <xf numFmtId="0" fontId="45" fillId="17" borderId="12" xfId="0" applyFont="1" applyFill="1" applyBorder="1" applyAlignment="1">
      <alignment vertical="center" wrapText="1"/>
    </xf>
    <xf numFmtId="0" fontId="52" fillId="17" borderId="16" xfId="0" applyFont="1" applyFill="1" applyBorder="1" applyAlignment="1" applyProtection="1">
      <alignment horizontal="center" vertical="center" wrapText="1"/>
      <protection locked="0"/>
    </xf>
    <xf numFmtId="0" fontId="52" fillId="16" borderId="10" xfId="0" applyFont="1" applyFill="1" applyBorder="1" applyAlignment="1" applyProtection="1">
      <alignment horizontal="center" vertical="center" wrapText="1"/>
      <protection locked="0"/>
    </xf>
    <xf numFmtId="0" fontId="0" fillId="16" borderId="8" xfId="0" applyFill="1" applyBorder="1" applyAlignment="1">
      <alignment vertical="center"/>
    </xf>
    <xf numFmtId="0" fontId="13" fillId="59" borderId="8" xfId="0" applyFont="1" applyFill="1" applyBorder="1" applyAlignment="1">
      <alignment vertical="center"/>
    </xf>
    <xf numFmtId="0" fontId="0" fillId="19" borderId="0" xfId="0" applyFill="1" applyAlignment="1">
      <alignment horizontal="left" vertical="top"/>
    </xf>
    <xf numFmtId="0" fontId="8" fillId="19" borderId="0" xfId="0" applyFont="1" applyFill="1" applyAlignment="1">
      <alignment horizontal="center" vertical="center"/>
    </xf>
    <xf numFmtId="0" fontId="7" fillId="19" borderId="0" xfId="0" applyFont="1" applyFill="1" applyAlignment="1">
      <alignment horizontal="center" vertical="center"/>
    </xf>
    <xf numFmtId="0" fontId="0" fillId="12" borderId="8" xfId="0" applyFill="1" applyBorder="1" applyAlignment="1">
      <alignment horizontal="center" vertical="center"/>
    </xf>
    <xf numFmtId="0" fontId="12" fillId="12" borderId="10" xfId="0" applyFont="1" applyFill="1" applyBorder="1" applyAlignment="1">
      <alignment horizontal="center" vertical="center"/>
    </xf>
    <xf numFmtId="0" fontId="102" fillId="0" borderId="0" xfId="0" applyFont="1" applyAlignment="1" applyProtection="1">
      <alignment vertical="center" wrapText="1"/>
      <protection locked="0"/>
    </xf>
    <xf numFmtId="0" fontId="102" fillId="20" borderId="0" xfId="0" applyFont="1" applyFill="1" applyAlignment="1" applyProtection="1">
      <alignment vertical="center" wrapText="1"/>
      <protection locked="0"/>
    </xf>
    <xf numFmtId="0" fontId="63" fillId="20" borderId="0" xfId="0" applyFont="1" applyFill="1" applyAlignment="1" applyProtection="1">
      <alignment vertical="center" wrapText="1"/>
      <protection locked="0"/>
    </xf>
    <xf numFmtId="0" fontId="6" fillId="10" borderId="5" xfId="0" applyFont="1" applyFill="1" applyBorder="1" applyAlignment="1">
      <alignment horizontal="left" vertical="center"/>
    </xf>
    <xf numFmtId="0" fontId="46" fillId="0" borderId="2" xfId="0" applyFont="1" applyBorder="1" applyAlignment="1">
      <alignment vertical="center" wrapText="1"/>
    </xf>
    <xf numFmtId="0" fontId="46" fillId="0" borderId="0" xfId="0" applyFont="1" applyAlignment="1">
      <alignment vertical="center" wrapText="1"/>
    </xf>
    <xf numFmtId="0" fontId="40" fillId="9" borderId="3" xfId="0" applyFont="1" applyFill="1" applyBorder="1" applyAlignment="1">
      <alignment horizontal="center" vertical="center" wrapText="1"/>
    </xf>
    <xf numFmtId="0" fontId="45" fillId="12" borderId="10" xfId="0" applyFont="1" applyFill="1" applyBorder="1" applyAlignment="1">
      <alignment vertical="center" wrapText="1"/>
    </xf>
    <xf numFmtId="0" fontId="40" fillId="12" borderId="10" xfId="0" applyFont="1" applyFill="1" applyBorder="1" applyAlignment="1">
      <alignment horizontal="left" vertical="center"/>
    </xf>
    <xf numFmtId="0" fontId="42" fillId="12" borderId="7" xfId="0" applyFont="1" applyFill="1" applyBorder="1" applyAlignment="1">
      <alignment horizontal="center" vertical="center"/>
    </xf>
    <xf numFmtId="0" fontId="8" fillId="10" borderId="14" xfId="0" applyFont="1" applyFill="1" applyBorder="1" applyAlignment="1">
      <alignment horizontal="center" vertical="center"/>
    </xf>
    <xf numFmtId="0" fontId="7" fillId="10" borderId="14" xfId="0" applyFont="1" applyFill="1" applyBorder="1" applyAlignment="1">
      <alignment horizontal="center" vertical="center"/>
    </xf>
    <xf numFmtId="0" fontId="6" fillId="10" borderId="14" xfId="0" applyFont="1" applyFill="1" applyBorder="1" applyAlignment="1">
      <alignment horizontal="left" vertical="center"/>
    </xf>
    <xf numFmtId="0" fontId="0" fillId="10" borderId="14" xfId="0" applyFill="1" applyBorder="1" applyAlignment="1" applyProtection="1">
      <alignment horizontal="left" vertical="center"/>
      <protection locked="0"/>
    </xf>
    <xf numFmtId="0" fontId="47" fillId="9" borderId="13" xfId="0" applyFont="1" applyFill="1" applyBorder="1" applyAlignment="1">
      <alignment horizontal="center" vertical="center" textRotation="90" wrapText="1"/>
    </xf>
    <xf numFmtId="0" fontId="47" fillId="12" borderId="13" xfId="0" applyFont="1" applyFill="1" applyBorder="1" applyAlignment="1">
      <alignment horizontal="center" vertical="center" textRotation="90" wrapText="1"/>
    </xf>
    <xf numFmtId="0" fontId="7" fillId="9" borderId="10" xfId="0" applyFont="1" applyFill="1" applyBorder="1" applyAlignment="1">
      <alignment horizontal="center" vertical="center"/>
    </xf>
    <xf numFmtId="0" fontId="7" fillId="12" borderId="10" xfId="0" applyFont="1" applyFill="1" applyBorder="1" applyAlignment="1">
      <alignment horizontal="center" vertical="center"/>
    </xf>
    <xf numFmtId="0" fontId="45" fillId="9" borderId="9" xfId="0" applyFont="1" applyFill="1" applyBorder="1" applyAlignment="1">
      <alignment horizontal="left" vertical="center" wrapText="1"/>
    </xf>
    <xf numFmtId="0" fontId="45" fillId="0" borderId="2" xfId="0" applyFont="1" applyBorder="1" applyAlignment="1">
      <alignment horizontal="left" vertical="center" wrapText="1"/>
    </xf>
    <xf numFmtId="0" fontId="45" fillId="0" borderId="0" xfId="0" applyFont="1" applyAlignment="1">
      <alignment horizontal="left" vertical="center" wrapText="1"/>
    </xf>
    <xf numFmtId="0" fontId="40" fillId="7" borderId="3" xfId="0" applyFont="1" applyFill="1" applyBorder="1" applyAlignment="1">
      <alignment horizontal="center" vertical="center" wrapText="1"/>
    </xf>
    <xf numFmtId="0" fontId="47" fillId="7" borderId="11" xfId="0" applyFont="1" applyFill="1" applyBorder="1" applyAlignment="1">
      <alignment horizontal="center" vertical="center" textRotation="90" wrapText="1"/>
    </xf>
    <xf numFmtId="0" fontId="40" fillId="7" borderId="10" xfId="0" applyFont="1" applyFill="1" applyBorder="1" applyAlignment="1">
      <alignment horizontal="center" vertical="center" wrapText="1"/>
    </xf>
    <xf numFmtId="0" fontId="40" fillId="7" borderId="15" xfId="0" applyFont="1" applyFill="1" applyBorder="1" applyAlignment="1">
      <alignment horizontal="center" vertical="center" wrapText="1"/>
    </xf>
    <xf numFmtId="0" fontId="40" fillId="7" borderId="11" xfId="0" applyFont="1" applyFill="1" applyBorder="1" applyAlignment="1">
      <alignment horizontal="center" vertical="center" wrapText="1"/>
    </xf>
    <xf numFmtId="0" fontId="46" fillId="14" borderId="16" xfId="0" applyFont="1" applyFill="1" applyBorder="1" applyAlignment="1" applyProtection="1">
      <alignment vertical="center" wrapText="1"/>
      <protection locked="0"/>
    </xf>
    <xf numFmtId="0" fontId="46" fillId="15" borderId="16" xfId="0" applyFont="1" applyFill="1" applyBorder="1" applyAlignment="1" applyProtection="1">
      <alignment vertical="center" wrapText="1"/>
      <protection locked="0"/>
    </xf>
    <xf numFmtId="0" fontId="45" fillId="14" borderId="29" xfId="0" applyFont="1" applyFill="1" applyBorder="1" applyAlignment="1">
      <alignment horizontal="center" vertical="center" textRotation="90" wrapText="1"/>
    </xf>
    <xf numFmtId="0" fontId="46" fillId="14" borderId="18" xfId="0" applyFont="1" applyFill="1" applyBorder="1" applyAlignment="1" applyProtection="1">
      <alignment vertical="center" wrapText="1"/>
      <protection locked="0"/>
    </xf>
    <xf numFmtId="0" fontId="45" fillId="15" borderId="29" xfId="0" applyFont="1" applyFill="1" applyBorder="1" applyAlignment="1">
      <alignment horizontal="center" vertical="center" textRotation="90" wrapText="1"/>
    </xf>
    <xf numFmtId="0" fontId="46" fillId="15" borderId="18" xfId="0" applyFont="1" applyFill="1" applyBorder="1" applyAlignment="1" applyProtection="1">
      <alignment vertical="center" wrapText="1"/>
      <protection locked="0"/>
    </xf>
    <xf numFmtId="0" fontId="46" fillId="14" borderId="47" xfId="0" applyFont="1" applyFill="1" applyBorder="1" applyAlignment="1">
      <alignment vertical="center" textRotation="90" wrapText="1"/>
    </xf>
    <xf numFmtId="0" fontId="45" fillId="14" borderId="48" xfId="0" applyFont="1" applyFill="1" applyBorder="1" applyAlignment="1">
      <alignment horizontal="center" vertical="center" textRotation="90" wrapText="1"/>
    </xf>
    <xf numFmtId="0" fontId="45" fillId="15" borderId="48" xfId="0" applyFont="1" applyFill="1" applyBorder="1" applyAlignment="1">
      <alignment horizontal="center" vertical="center" textRotation="90" wrapText="1"/>
    </xf>
    <xf numFmtId="0" fontId="46" fillId="14" borderId="49" xfId="0" applyFont="1" applyFill="1" applyBorder="1" applyAlignment="1" applyProtection="1">
      <alignment vertical="center" wrapText="1"/>
      <protection locked="0"/>
    </xf>
    <xf numFmtId="0" fontId="45" fillId="14" borderId="50" xfId="0" applyFont="1" applyFill="1" applyBorder="1" applyAlignment="1">
      <alignment horizontal="center" vertical="center" textRotation="90" wrapText="1"/>
    </xf>
    <xf numFmtId="0" fontId="45" fillId="14" borderId="51" xfId="0" applyFont="1" applyFill="1" applyBorder="1" applyAlignment="1">
      <alignment horizontal="center" vertical="center" textRotation="90" wrapText="1"/>
    </xf>
    <xf numFmtId="0" fontId="45" fillId="15" borderId="51" xfId="0" applyFont="1" applyFill="1" applyBorder="1" applyAlignment="1">
      <alignment horizontal="center" vertical="center" textRotation="90" wrapText="1"/>
    </xf>
    <xf numFmtId="0" fontId="45" fillId="14" borderId="49" xfId="0" applyFont="1" applyFill="1" applyBorder="1" applyAlignment="1">
      <alignment horizontal="center" vertical="center" textRotation="90" wrapText="1"/>
    </xf>
    <xf numFmtId="0" fontId="46" fillId="14" borderId="52" xfId="0" applyFont="1" applyFill="1" applyBorder="1" applyAlignment="1">
      <alignment vertical="center" textRotation="90" wrapText="1"/>
    </xf>
    <xf numFmtId="0" fontId="46" fillId="15" borderId="52" xfId="0" applyFont="1" applyFill="1" applyBorder="1" applyAlignment="1">
      <alignment vertical="center" textRotation="90" wrapText="1"/>
    </xf>
    <xf numFmtId="0" fontId="45" fillId="14" borderId="27" xfId="0" applyFont="1" applyFill="1" applyBorder="1" applyAlignment="1">
      <alignment horizontal="center" vertical="center" textRotation="90" wrapText="1"/>
    </xf>
    <xf numFmtId="0" fontId="45" fillId="15" borderId="27" xfId="0" applyFont="1" applyFill="1" applyBorder="1" applyAlignment="1">
      <alignment horizontal="center" vertical="center" textRotation="90" wrapText="1"/>
    </xf>
    <xf numFmtId="0" fontId="103" fillId="14" borderId="40" xfId="0" applyFont="1" applyFill="1" applyBorder="1" applyAlignment="1">
      <alignment horizontal="center" vertical="center" textRotation="90" wrapText="1"/>
    </xf>
    <xf numFmtId="0" fontId="103" fillId="15" borderId="40" xfId="0" applyFont="1" applyFill="1" applyBorder="1" applyAlignment="1">
      <alignment horizontal="center" vertical="center" textRotation="90" wrapText="1"/>
    </xf>
    <xf numFmtId="0" fontId="103" fillId="14" borderId="28" xfId="0" applyFont="1" applyFill="1" applyBorder="1" applyAlignment="1">
      <alignment horizontal="center" vertical="center" textRotation="90" wrapText="1"/>
    </xf>
    <xf numFmtId="0" fontId="103" fillId="15" borderId="24" xfId="0" applyFont="1" applyFill="1" applyBorder="1" applyAlignment="1">
      <alignment horizontal="center" vertical="center" textRotation="90" wrapText="1"/>
    </xf>
    <xf numFmtId="0" fontId="103" fillId="14" borderId="23" xfId="0" applyFont="1" applyFill="1" applyBorder="1" applyAlignment="1">
      <alignment horizontal="center" vertical="center" textRotation="90" wrapText="1"/>
    </xf>
    <xf numFmtId="0" fontId="45" fillId="15" borderId="53" xfId="0" applyFont="1" applyFill="1" applyBorder="1" applyAlignment="1">
      <alignment horizontal="center" vertical="center" textRotation="90" wrapText="1"/>
    </xf>
    <xf numFmtId="0" fontId="1" fillId="13" borderId="0" xfId="0" applyFont="1" applyFill="1" applyAlignment="1">
      <alignment horizontal="left" vertical="center"/>
    </xf>
    <xf numFmtId="0" fontId="0" fillId="13" borderId="0" xfId="0" applyFill="1" applyAlignment="1">
      <alignment horizontal="left" vertical="center"/>
    </xf>
    <xf numFmtId="0" fontId="0" fillId="13" borderId="5" xfId="0" applyFill="1" applyBorder="1" applyAlignment="1" applyProtection="1">
      <alignment horizontal="left" vertical="center"/>
      <protection locked="0"/>
    </xf>
    <xf numFmtId="0" fontId="0" fillId="13" borderId="5" xfId="0" applyFill="1" applyBorder="1" applyAlignment="1">
      <alignment horizontal="left" vertical="center"/>
    </xf>
    <xf numFmtId="0" fontId="0" fillId="13" borderId="4" xfId="0" applyFill="1" applyBorder="1" applyAlignment="1" applyProtection="1">
      <alignment horizontal="left" vertical="center"/>
      <protection locked="0"/>
    </xf>
    <xf numFmtId="0" fontId="48" fillId="17" borderId="33" xfId="0" applyFont="1" applyFill="1" applyBorder="1" applyAlignment="1" applyProtection="1">
      <alignment vertical="center" wrapText="1"/>
      <protection locked="0"/>
    </xf>
    <xf numFmtId="0" fontId="64" fillId="17" borderId="34" xfId="0" applyFont="1" applyFill="1" applyBorder="1" applyAlignment="1" applyProtection="1">
      <alignment vertical="center" wrapText="1"/>
      <protection locked="0"/>
    </xf>
    <xf numFmtId="0" fontId="15" fillId="17" borderId="36" xfId="0" applyFont="1" applyFill="1" applyBorder="1" applyAlignment="1" applyProtection="1">
      <alignment vertical="center" wrapText="1"/>
      <protection locked="0"/>
    </xf>
    <xf numFmtId="0" fontId="15" fillId="20" borderId="34" xfId="0" applyFont="1" applyFill="1" applyBorder="1" applyAlignment="1" applyProtection="1">
      <alignment vertical="center" wrapText="1"/>
      <protection locked="0"/>
    </xf>
    <xf numFmtId="0" fontId="104" fillId="0" borderId="0" xfId="0" applyFont="1" applyAlignment="1">
      <alignment vertical="center" wrapText="1"/>
    </xf>
    <xf numFmtId="0" fontId="48" fillId="15" borderId="34" xfId="0" applyFont="1" applyFill="1" applyBorder="1" applyAlignment="1">
      <alignment vertical="center" wrapText="1"/>
    </xf>
    <xf numFmtId="0" fontId="48" fillId="20" borderId="34" xfId="0" applyFont="1" applyFill="1" applyBorder="1" applyAlignment="1">
      <alignment vertical="center" wrapText="1"/>
    </xf>
    <xf numFmtId="0" fontId="48" fillId="14" borderId="54" xfId="0" applyFont="1" applyFill="1" applyBorder="1" applyAlignment="1" applyProtection="1">
      <alignment vertical="center" wrapText="1"/>
      <protection locked="0"/>
    </xf>
    <xf numFmtId="0" fontId="51" fillId="15" borderId="13" xfId="0" applyFont="1" applyFill="1" applyBorder="1" applyAlignment="1">
      <alignment vertical="center" wrapText="1"/>
    </xf>
    <xf numFmtId="0" fontId="64" fillId="14" borderId="13" xfId="0" applyFont="1" applyFill="1" applyBorder="1" applyAlignment="1" applyProtection="1">
      <alignment vertical="center" wrapText="1"/>
      <protection locked="0"/>
    </xf>
    <xf numFmtId="0" fontId="15" fillId="15" borderId="13" xfId="0" applyFont="1" applyFill="1" applyBorder="1" applyAlignment="1" applyProtection="1">
      <alignment vertical="center" wrapText="1"/>
      <protection locked="0"/>
    </xf>
    <xf numFmtId="0" fontId="15" fillId="15" borderId="55" xfId="0" applyFont="1" applyFill="1" applyBorder="1" applyAlignment="1" applyProtection="1">
      <alignment vertical="center" wrapText="1"/>
      <protection locked="0"/>
    </xf>
    <xf numFmtId="0" fontId="70" fillId="14" borderId="5" xfId="0" applyFont="1" applyFill="1" applyBorder="1" applyAlignment="1">
      <alignment vertical="center" wrapText="1"/>
    </xf>
    <xf numFmtId="1" fontId="69" fillId="14" borderId="8" xfId="0" applyNumberFormat="1" applyFont="1" applyFill="1" applyBorder="1" applyAlignment="1">
      <alignment horizontal="center" vertical="center"/>
    </xf>
    <xf numFmtId="0" fontId="48" fillId="17" borderId="35" xfId="0" applyFont="1" applyFill="1" applyBorder="1" applyAlignment="1" applyProtection="1">
      <alignment vertical="center" wrapText="1"/>
      <protection locked="0"/>
    </xf>
    <xf numFmtId="0" fontId="48" fillId="20" borderId="10" xfId="0" applyFont="1" applyFill="1" applyBorder="1" applyAlignment="1">
      <alignment vertical="center" wrapText="1"/>
    </xf>
    <xf numFmtId="0" fontId="64" fillId="17" borderId="10" xfId="0" applyFont="1" applyFill="1" applyBorder="1" applyAlignment="1" applyProtection="1">
      <alignment vertical="center" wrapText="1"/>
      <protection locked="0"/>
    </xf>
    <xf numFmtId="0" fontId="15" fillId="20" borderId="10" xfId="0" applyFont="1" applyFill="1" applyBorder="1" applyAlignment="1" applyProtection="1">
      <alignment vertical="center" wrapText="1"/>
      <protection locked="0"/>
    </xf>
    <xf numFmtId="0" fontId="15" fillId="17" borderId="37" xfId="0" applyFont="1" applyFill="1" applyBorder="1" applyAlignment="1" applyProtection="1">
      <alignment vertical="center" wrapText="1"/>
      <protection locked="0"/>
    </xf>
    <xf numFmtId="0" fontId="70" fillId="20" borderId="56" xfId="0" applyFont="1" applyFill="1" applyBorder="1" applyAlignment="1">
      <alignment vertical="center" wrapText="1"/>
    </xf>
    <xf numFmtId="0" fontId="70" fillId="20" borderId="57" xfId="0" applyFont="1" applyFill="1" applyBorder="1" applyAlignment="1">
      <alignment vertical="center" wrapText="1"/>
    </xf>
    <xf numFmtId="0" fontId="0" fillId="0" borderId="56" xfId="0" applyBorder="1"/>
    <xf numFmtId="0" fontId="0" fillId="13" borderId="59" xfId="0" applyFill="1" applyBorder="1"/>
    <xf numFmtId="0" fontId="0" fillId="13" borderId="60" xfId="0" applyFill="1" applyBorder="1"/>
    <xf numFmtId="0" fontId="0" fillId="13" borderId="46" xfId="0" applyFill="1" applyBorder="1"/>
    <xf numFmtId="0" fontId="42" fillId="17" borderId="35" xfId="0" applyFont="1" applyFill="1" applyBorder="1" applyAlignment="1" applyProtection="1">
      <alignment horizontal="center" vertical="center" wrapText="1"/>
      <protection locked="0"/>
    </xf>
    <xf numFmtId="0" fontId="42" fillId="17" borderId="10" xfId="0" applyFont="1" applyFill="1" applyBorder="1" applyAlignment="1" applyProtection="1">
      <alignment horizontal="center" vertical="center" wrapText="1"/>
      <protection locked="0"/>
    </xf>
    <xf numFmtId="14" fontId="50" fillId="17" borderId="37" xfId="0" applyNumberFormat="1" applyFont="1" applyFill="1" applyBorder="1" applyAlignment="1">
      <alignment horizontal="center" vertical="center" wrapText="1"/>
    </xf>
    <xf numFmtId="0" fontId="15" fillId="14" borderId="36" xfId="0" applyFont="1" applyFill="1" applyBorder="1" applyAlignment="1" applyProtection="1">
      <alignment vertical="center" wrapText="1"/>
      <protection locked="0"/>
    </xf>
    <xf numFmtId="0" fontId="42" fillId="20" borderId="10" xfId="0" applyFont="1" applyFill="1" applyBorder="1" applyAlignment="1" applyProtection="1">
      <alignment horizontal="center" vertical="center" wrapText="1"/>
      <protection locked="0"/>
    </xf>
    <xf numFmtId="0" fontId="15" fillId="17" borderId="10" xfId="0" applyFont="1" applyFill="1" applyBorder="1" applyAlignment="1">
      <alignment horizontal="center" vertical="center" wrapText="1"/>
    </xf>
    <xf numFmtId="0" fontId="20" fillId="4" borderId="13" xfId="0" applyFont="1" applyFill="1" applyBorder="1" applyAlignment="1">
      <alignment horizontal="center" vertical="center"/>
    </xf>
    <xf numFmtId="0" fontId="20" fillId="4" borderId="10" xfId="0" applyFont="1" applyFill="1" applyBorder="1" applyAlignment="1">
      <alignment horizontal="center" vertical="center"/>
    </xf>
    <xf numFmtId="0" fontId="0" fillId="11" borderId="0" xfId="0" applyFill="1"/>
    <xf numFmtId="0" fontId="30" fillId="0" borderId="0" xfId="0" applyFont="1" applyAlignment="1" applyProtection="1">
      <alignment horizontal="center" vertical="center" wrapText="1"/>
      <protection locked="0"/>
    </xf>
    <xf numFmtId="0" fontId="15" fillId="0" borderId="0" xfId="0" applyFont="1" applyAlignment="1" applyProtection="1">
      <alignment vertical="center" wrapText="1"/>
      <protection locked="0"/>
    </xf>
    <xf numFmtId="0" fontId="46" fillId="0" borderId="5" xfId="0" applyFont="1" applyBorder="1" applyAlignment="1">
      <alignment vertical="center" wrapText="1"/>
    </xf>
    <xf numFmtId="41" fontId="52" fillId="0" borderId="7" xfId="0" applyNumberFormat="1" applyFont="1" applyBorder="1" applyAlignment="1" applyProtection="1">
      <alignment horizontal="center" vertical="center" wrapText="1"/>
      <protection locked="0"/>
    </xf>
    <xf numFmtId="0" fontId="40" fillId="15" borderId="10" xfId="0" applyFont="1" applyFill="1" applyBorder="1" applyAlignment="1">
      <alignment horizontal="center" vertical="center" wrapText="1"/>
    </xf>
    <xf numFmtId="0" fontId="47" fillId="15" borderId="10" xfId="0" applyFont="1" applyFill="1" applyBorder="1" applyAlignment="1">
      <alignment horizontal="center" vertical="center" wrapText="1"/>
    </xf>
    <xf numFmtId="14" fontId="52" fillId="15" borderId="10" xfId="0" applyNumberFormat="1" applyFont="1" applyFill="1" applyBorder="1" applyAlignment="1">
      <alignment horizontal="center" vertical="center" wrapText="1"/>
    </xf>
    <xf numFmtId="14" fontId="45" fillId="15" borderId="10" xfId="0" applyNumberFormat="1" applyFont="1" applyFill="1" applyBorder="1" applyAlignment="1">
      <alignment horizontal="center" vertical="center" wrapText="1"/>
    </xf>
    <xf numFmtId="14" fontId="45" fillId="0" borderId="2" xfId="0" applyNumberFormat="1" applyFont="1" applyBorder="1" applyAlignment="1">
      <alignment horizontal="center" vertical="center" wrapText="1"/>
    </xf>
    <xf numFmtId="14" fontId="45" fillId="0" borderId="0" xfId="0" applyNumberFormat="1" applyFont="1" applyAlignment="1">
      <alignment horizontal="center" vertical="center" wrapText="1"/>
    </xf>
    <xf numFmtId="14" fontId="28" fillId="15" borderId="10" xfId="0" applyNumberFormat="1" applyFont="1" applyFill="1" applyBorder="1" applyAlignment="1">
      <alignment horizontal="left" vertical="center" wrapText="1"/>
    </xf>
    <xf numFmtId="14" fontId="15" fillId="15" borderId="10" xfId="0" applyNumberFormat="1" applyFont="1" applyFill="1" applyBorder="1" applyAlignment="1">
      <alignment horizontal="left" vertical="center" wrapText="1"/>
    </xf>
    <xf numFmtId="0" fontId="3" fillId="65" borderId="7" xfId="0" applyFont="1" applyFill="1" applyBorder="1" applyAlignment="1">
      <alignment vertical="center" wrapText="1"/>
    </xf>
    <xf numFmtId="0" fontId="3" fillId="65" borderId="8" xfId="0" applyFont="1" applyFill="1" applyBorder="1" applyAlignment="1">
      <alignment vertical="center" wrapText="1"/>
    </xf>
    <xf numFmtId="0" fontId="3" fillId="65" borderId="9" xfId="0" applyFont="1" applyFill="1" applyBorder="1" applyAlignment="1">
      <alignment vertical="center" wrapText="1"/>
    </xf>
    <xf numFmtId="0" fontId="3" fillId="8" borderId="9" xfId="0" applyFont="1" applyFill="1" applyBorder="1" applyAlignment="1">
      <alignment vertical="center" wrapText="1"/>
    </xf>
    <xf numFmtId="0" fontId="110" fillId="8" borderId="8" xfId="0" applyFont="1" applyFill="1" applyBorder="1" applyAlignment="1">
      <alignment horizontal="center" vertical="center" wrapText="1"/>
    </xf>
    <xf numFmtId="0" fontId="110" fillId="8" borderId="9" xfId="0" applyFont="1" applyFill="1" applyBorder="1" applyAlignment="1">
      <alignment horizontal="center" vertical="center" wrapText="1"/>
    </xf>
    <xf numFmtId="0" fontId="15" fillId="8" borderId="8" xfId="0" applyFont="1" applyFill="1" applyBorder="1" applyAlignment="1">
      <alignment horizontal="left" vertical="center" wrapText="1"/>
    </xf>
    <xf numFmtId="0" fontId="15" fillId="65" borderId="8" xfId="0" applyFont="1" applyFill="1" applyBorder="1" applyAlignment="1">
      <alignment horizontal="left" vertical="center" wrapText="1"/>
    </xf>
    <xf numFmtId="0" fontId="15" fillId="0" borderId="5" xfId="0" applyFont="1" applyBorder="1" applyAlignment="1">
      <alignment horizontal="left" vertical="center" wrapText="1"/>
    </xf>
    <xf numFmtId="0" fontId="15" fillId="0" borderId="2" xfId="0" applyFont="1" applyBorder="1" applyAlignment="1">
      <alignment horizontal="left" vertical="center" wrapText="1"/>
    </xf>
    <xf numFmtId="0" fontId="15" fillId="0" borderId="4" xfId="0" applyFont="1" applyBorder="1" applyAlignment="1">
      <alignment horizontal="left" vertical="center" wrapText="1"/>
    </xf>
    <xf numFmtId="0" fontId="15" fillId="17" borderId="2" xfId="0" applyFont="1" applyFill="1" applyBorder="1" applyAlignment="1">
      <alignment horizontal="center" vertical="center" wrapText="1"/>
    </xf>
    <xf numFmtId="0" fontId="15" fillId="17" borderId="16" xfId="0" applyFont="1" applyFill="1" applyBorder="1" applyAlignment="1">
      <alignment horizontal="left" vertical="center" wrapText="1"/>
    </xf>
    <xf numFmtId="41" fontId="52" fillId="17" borderId="7" xfId="0" applyNumberFormat="1" applyFont="1" applyFill="1" applyBorder="1" applyAlignment="1" applyProtection="1">
      <alignment horizontal="center" vertical="center" wrapText="1"/>
      <protection locked="0"/>
    </xf>
    <xf numFmtId="41" fontId="52" fillId="17" borderId="16" xfId="0" applyNumberFormat="1" applyFont="1" applyFill="1" applyBorder="1" applyAlignment="1" applyProtection="1">
      <alignment horizontal="center" vertical="center" wrapText="1"/>
      <protection locked="0"/>
    </xf>
    <xf numFmtId="0" fontId="15" fillId="16" borderId="10" xfId="0" applyFont="1" applyFill="1" applyBorder="1" applyAlignment="1">
      <alignment horizontal="center" vertical="center" wrapText="1"/>
    </xf>
    <xf numFmtId="0" fontId="15" fillId="16" borderId="1" xfId="0" applyFont="1" applyFill="1" applyBorder="1" applyAlignment="1">
      <alignment horizontal="center" vertical="center" wrapText="1"/>
    </xf>
    <xf numFmtId="41" fontId="52" fillId="16" borderId="7" xfId="0" applyNumberFormat="1" applyFont="1" applyFill="1" applyBorder="1" applyAlignment="1" applyProtection="1">
      <alignment horizontal="center" vertical="center" wrapText="1"/>
      <protection locked="0"/>
    </xf>
    <xf numFmtId="41" fontId="52" fillId="65" borderId="7" xfId="0" applyNumberFormat="1" applyFont="1" applyFill="1" applyBorder="1" applyAlignment="1" applyProtection="1">
      <alignment horizontal="center" vertical="center" wrapText="1"/>
      <protection locked="0"/>
    </xf>
    <xf numFmtId="0" fontId="110" fillId="17" borderId="7" xfId="0" applyFont="1" applyFill="1" applyBorder="1" applyAlignment="1">
      <alignment vertical="center" wrapText="1"/>
    </xf>
    <xf numFmtId="0" fontId="111" fillId="17" borderId="7" xfId="0" applyFont="1" applyFill="1" applyBorder="1" applyAlignment="1">
      <alignment vertical="center" wrapText="1"/>
    </xf>
    <xf numFmtId="0" fontId="3" fillId="16" borderId="7" xfId="0" applyFont="1" applyFill="1" applyBorder="1" applyAlignment="1">
      <alignment vertical="center" wrapText="1"/>
    </xf>
    <xf numFmtId="0" fontId="110" fillId="17" borderId="7" xfId="0" applyFont="1" applyFill="1" applyBorder="1" applyAlignment="1">
      <alignment horizontal="center" vertical="center" wrapText="1"/>
    </xf>
    <xf numFmtId="0" fontId="30" fillId="14" borderId="48" xfId="0" applyFont="1" applyFill="1" applyBorder="1" applyAlignment="1">
      <alignment vertical="center" wrapText="1"/>
    </xf>
    <xf numFmtId="0" fontId="30" fillId="14" borderId="49" xfId="0" applyFont="1" applyFill="1" applyBorder="1" applyAlignment="1">
      <alignment vertical="center" wrapText="1"/>
    </xf>
    <xf numFmtId="0" fontId="15" fillId="14" borderId="18" xfId="0" applyFont="1" applyFill="1" applyBorder="1" applyAlignment="1" applyProtection="1">
      <alignment vertical="center" wrapText="1"/>
      <protection locked="0"/>
    </xf>
    <xf numFmtId="0" fontId="30" fillId="15" borderId="49" xfId="0" applyFont="1" applyFill="1" applyBorder="1" applyAlignment="1">
      <alignment vertical="center" wrapText="1"/>
    </xf>
    <xf numFmtId="0" fontId="15" fillId="15" borderId="18" xfId="0" applyFont="1" applyFill="1" applyBorder="1" applyAlignment="1" applyProtection="1">
      <alignment vertical="center" wrapText="1"/>
      <protection locked="0"/>
    </xf>
    <xf numFmtId="0" fontId="42" fillId="58" borderId="9" xfId="0" applyFont="1" applyFill="1" applyBorder="1" applyAlignment="1" applyProtection="1">
      <alignment horizontal="center" vertical="center" wrapText="1"/>
      <protection locked="0"/>
    </xf>
    <xf numFmtId="0" fontId="46" fillId="15" borderId="66" xfId="0" applyFont="1" applyFill="1" applyBorder="1" applyAlignment="1">
      <alignment vertical="center" textRotation="90" wrapText="1"/>
    </xf>
    <xf numFmtId="0" fontId="30" fillId="15" borderId="48" xfId="0" applyFont="1" applyFill="1" applyBorder="1" applyAlignment="1">
      <alignment vertical="center" wrapText="1"/>
    </xf>
    <xf numFmtId="0" fontId="45" fillId="15" borderId="68" xfId="0" applyFont="1" applyFill="1" applyBorder="1" applyAlignment="1">
      <alignment horizontal="center" vertical="center" textRotation="90" wrapText="1"/>
    </xf>
    <xf numFmtId="0" fontId="46" fillId="15" borderId="67" xfId="0" applyFont="1" applyFill="1" applyBorder="1" applyAlignment="1" applyProtection="1">
      <alignment vertical="center" wrapText="1"/>
      <protection locked="0"/>
    </xf>
    <xf numFmtId="0" fontId="48" fillId="15" borderId="67" xfId="0" applyFont="1" applyFill="1" applyBorder="1" applyAlignment="1" applyProtection="1">
      <alignment vertical="center" wrapText="1"/>
      <protection locked="0"/>
    </xf>
    <xf numFmtId="0" fontId="45" fillId="14" borderId="68" xfId="0" applyFont="1" applyFill="1" applyBorder="1" applyAlignment="1">
      <alignment horizontal="center" vertical="center" textRotation="90" wrapText="1"/>
    </xf>
    <xf numFmtId="0" fontId="46" fillId="14" borderId="67" xfId="0" applyFont="1" applyFill="1" applyBorder="1" applyAlignment="1" applyProtection="1">
      <alignment vertical="center" wrapText="1"/>
      <protection locked="0"/>
    </xf>
    <xf numFmtId="0" fontId="48" fillId="14" borderId="67" xfId="0" applyFont="1" applyFill="1" applyBorder="1" applyAlignment="1" applyProtection="1">
      <alignment vertical="center" wrapText="1"/>
      <protection locked="0"/>
    </xf>
    <xf numFmtId="0" fontId="45" fillId="15" borderId="67" xfId="0" applyFont="1" applyFill="1" applyBorder="1" applyAlignment="1">
      <alignment horizontal="center" vertical="center" textRotation="90" wrapText="1"/>
    </xf>
    <xf numFmtId="0" fontId="46" fillId="15" borderId="69" xfId="0" applyFont="1" applyFill="1" applyBorder="1" applyAlignment="1" applyProtection="1">
      <alignment vertical="center" wrapText="1"/>
      <protection locked="0"/>
    </xf>
    <xf numFmtId="0" fontId="45" fillId="14" borderId="67" xfId="0" applyFont="1" applyFill="1" applyBorder="1" applyAlignment="1">
      <alignment horizontal="center" vertical="center" textRotation="90" wrapText="1"/>
    </xf>
    <xf numFmtId="0" fontId="46" fillId="14" borderId="69" xfId="0" applyFont="1" applyFill="1" applyBorder="1" applyAlignment="1" applyProtection="1">
      <alignment vertical="center" wrapText="1"/>
      <protection locked="0"/>
    </xf>
    <xf numFmtId="0" fontId="45" fillId="14" borderId="31" xfId="0" applyFont="1" applyFill="1" applyBorder="1" applyAlignment="1">
      <alignment horizontal="center" vertical="center" textRotation="90" wrapText="1"/>
    </xf>
    <xf numFmtId="0" fontId="46" fillId="14" borderId="31" xfId="0" applyFont="1" applyFill="1" applyBorder="1" applyAlignment="1" applyProtection="1">
      <alignment vertical="center" wrapText="1"/>
      <protection locked="0"/>
    </xf>
    <xf numFmtId="0" fontId="48" fillId="14" borderId="31" xfId="0" applyFont="1" applyFill="1" applyBorder="1" applyAlignment="1" applyProtection="1">
      <alignment vertical="center" wrapText="1"/>
      <protection locked="0"/>
    </xf>
    <xf numFmtId="0" fontId="45" fillId="15" borderId="70" xfId="0" applyFont="1" applyFill="1" applyBorder="1" applyAlignment="1">
      <alignment horizontal="center" vertical="center" textRotation="90" wrapText="1"/>
    </xf>
    <xf numFmtId="0" fontId="46" fillId="15" borderId="19" xfId="0" applyFont="1" applyFill="1" applyBorder="1" applyAlignment="1" applyProtection="1">
      <alignment vertical="center" wrapText="1"/>
      <protection locked="0"/>
    </xf>
    <xf numFmtId="0" fontId="45" fillId="14" borderId="71" xfId="0" applyFont="1" applyFill="1" applyBorder="1" applyAlignment="1">
      <alignment horizontal="center" vertical="center" textRotation="90" wrapText="1"/>
    </xf>
    <xf numFmtId="0" fontId="45" fillId="15" borderId="72" xfId="0" applyFont="1" applyFill="1" applyBorder="1" applyAlignment="1">
      <alignment horizontal="center" vertical="center" textRotation="90" wrapText="1"/>
    </xf>
    <xf numFmtId="0" fontId="93" fillId="58" borderId="6" xfId="0" applyFont="1" applyFill="1" applyBorder="1" applyAlignment="1">
      <alignment vertical="center" textRotation="90" wrapText="1"/>
    </xf>
    <xf numFmtId="0" fontId="0" fillId="57" borderId="13" xfId="0" applyFill="1" applyBorder="1" applyAlignment="1">
      <alignment vertical="center" wrapText="1"/>
    </xf>
    <xf numFmtId="0" fontId="45" fillId="58" borderId="13" xfId="0" applyFont="1" applyFill="1" applyBorder="1" applyAlignment="1" applyProtection="1">
      <alignment horizontal="center" vertical="center" wrapText="1"/>
      <protection locked="0"/>
    </xf>
    <xf numFmtId="0" fontId="30" fillId="57" borderId="55" xfId="0" applyFont="1" applyFill="1" applyBorder="1" applyAlignment="1" applyProtection="1">
      <alignment horizontal="center" vertical="center" wrapText="1"/>
      <protection locked="0"/>
    </xf>
    <xf numFmtId="0" fontId="6" fillId="13" borderId="60" xfId="0" applyFont="1" applyFill="1" applyBorder="1" applyAlignment="1">
      <alignment horizontal="left" vertical="center"/>
    </xf>
    <xf numFmtId="0" fontId="8" fillId="13" borderId="73" xfId="0" applyFont="1" applyFill="1" applyBorder="1" applyAlignment="1">
      <alignment horizontal="center" vertical="center"/>
    </xf>
    <xf numFmtId="0" fontId="8" fillId="13" borderId="60" xfId="0" applyFont="1" applyFill="1" applyBorder="1" applyAlignment="1">
      <alignment horizontal="center" vertical="center"/>
    </xf>
    <xf numFmtId="0" fontId="7" fillId="13" borderId="60" xfId="0" applyFont="1" applyFill="1" applyBorder="1" applyAlignment="1">
      <alignment horizontal="center" vertical="center"/>
    </xf>
    <xf numFmtId="0" fontId="15" fillId="16" borderId="2" xfId="0" applyFont="1" applyFill="1" applyBorder="1" applyAlignment="1">
      <alignment horizontal="center" vertical="center" wrapText="1"/>
    </xf>
    <xf numFmtId="0" fontId="0" fillId="11" borderId="10" xfId="0" applyFill="1" applyBorder="1" applyAlignment="1" applyProtection="1">
      <alignment horizontal="left" vertical="center"/>
      <protection locked="0"/>
    </xf>
    <xf numFmtId="0" fontId="0" fillId="9" borderId="10" xfId="0" applyFill="1" applyBorder="1" applyAlignment="1">
      <alignment horizontal="center" vertical="center"/>
    </xf>
    <xf numFmtId="0" fontId="0" fillId="10" borderId="5" xfId="0" applyFill="1" applyBorder="1"/>
    <xf numFmtId="0" fontId="5" fillId="59" borderId="10" xfId="0" applyFont="1" applyFill="1" applyBorder="1" applyAlignment="1">
      <alignment horizontal="center" vertical="center"/>
    </xf>
    <xf numFmtId="0" fontId="49" fillId="15" borderId="10" xfId="0" applyFont="1" applyFill="1" applyBorder="1" applyAlignment="1">
      <alignment vertical="center" wrapText="1"/>
    </xf>
    <xf numFmtId="41" fontId="52" fillId="15" borderId="10" xfId="0" applyNumberFormat="1" applyFont="1" applyFill="1" applyBorder="1" applyAlignment="1" applyProtection="1">
      <alignment horizontal="center" vertical="center" wrapText="1"/>
      <protection locked="0"/>
    </xf>
    <xf numFmtId="0" fontId="0" fillId="14" borderId="10" xfId="0" applyFill="1" applyBorder="1" applyAlignment="1">
      <alignment vertical="center" wrapText="1"/>
    </xf>
    <xf numFmtId="0" fontId="46" fillId="14" borderId="10" xfId="0" applyFont="1" applyFill="1" applyBorder="1" applyAlignment="1" applyProtection="1">
      <alignment vertical="center" wrapText="1"/>
      <protection locked="0"/>
    </xf>
    <xf numFmtId="0" fontId="48" fillId="14" borderId="10" xfId="0" applyFont="1" applyFill="1" applyBorder="1" applyAlignment="1" applyProtection="1">
      <alignment vertical="center" wrapText="1"/>
      <protection locked="0"/>
    </xf>
    <xf numFmtId="0" fontId="40" fillId="0" borderId="0" xfId="0" applyFont="1" applyAlignment="1">
      <alignment vertical="center" wrapText="1"/>
    </xf>
    <xf numFmtId="0" fontId="40" fillId="14" borderId="10" xfId="0" quotePrefix="1" applyFont="1" applyFill="1" applyBorder="1" applyAlignment="1">
      <alignment vertical="center" wrapText="1"/>
    </xf>
    <xf numFmtId="0" fontId="37" fillId="15" borderId="13" xfId="0" applyFont="1" applyFill="1" applyBorder="1" applyAlignment="1">
      <alignment horizontal="center" vertical="center" wrapText="1"/>
    </xf>
    <xf numFmtId="0" fontId="37" fillId="14" borderId="13" xfId="0" applyFont="1" applyFill="1" applyBorder="1" applyAlignment="1">
      <alignment horizontal="center" vertical="center" wrapText="1"/>
    </xf>
    <xf numFmtId="0" fontId="46" fillId="15" borderId="13" xfId="0" applyFont="1" applyFill="1" applyBorder="1" applyAlignment="1">
      <alignment vertical="center" wrapText="1"/>
    </xf>
    <xf numFmtId="0" fontId="0" fillId="14" borderId="13" xfId="0" applyFill="1" applyBorder="1" applyAlignment="1">
      <alignment vertical="center" wrapText="1"/>
    </xf>
    <xf numFmtId="0" fontId="40" fillId="15" borderId="13" xfId="0" applyFont="1" applyFill="1" applyBorder="1" applyAlignment="1">
      <alignment vertical="center" wrapText="1"/>
    </xf>
    <xf numFmtId="0" fontId="47" fillId="15" borderId="13" xfId="0" applyFont="1" applyFill="1" applyBorder="1" applyAlignment="1">
      <alignment horizontal="center" vertical="center" wrapText="1"/>
    </xf>
    <xf numFmtId="0" fontId="40" fillId="14" borderId="13" xfId="0" quotePrefix="1" applyFont="1" applyFill="1" applyBorder="1" applyAlignment="1">
      <alignment vertical="center" wrapText="1"/>
    </xf>
    <xf numFmtId="0" fontId="0" fillId="11" borderId="11" xfId="0" applyFill="1" applyBorder="1" applyAlignment="1" applyProtection="1">
      <alignment horizontal="left" vertical="center"/>
      <protection locked="0"/>
    </xf>
    <xf numFmtId="0" fontId="18" fillId="16" borderId="10" xfId="0" applyFont="1" applyFill="1" applyBorder="1" applyAlignment="1">
      <alignment vertical="center" wrapText="1"/>
    </xf>
    <xf numFmtId="0" fontId="8" fillId="16" borderId="10" xfId="0" applyFont="1" applyFill="1" applyBorder="1" applyAlignment="1">
      <alignment horizontal="center" vertical="center"/>
    </xf>
    <xf numFmtId="49" fontId="30" fillId="17" borderId="7" xfId="0" applyNumberFormat="1" applyFont="1" applyFill="1" applyBorder="1" applyAlignment="1" applyProtection="1">
      <alignment horizontal="center" vertical="center" wrapText="1"/>
      <protection locked="0"/>
    </xf>
    <xf numFmtId="49" fontId="30" fillId="17" borderId="16" xfId="0" applyNumberFormat="1" applyFont="1" applyFill="1" applyBorder="1" applyAlignment="1" applyProtection="1">
      <alignment horizontal="center" vertical="center" wrapText="1"/>
      <protection locked="0"/>
    </xf>
    <xf numFmtId="49" fontId="30" fillId="16" borderId="7" xfId="0" applyNumberFormat="1" applyFont="1" applyFill="1" applyBorder="1" applyAlignment="1" applyProtection="1">
      <alignment horizontal="center" vertical="center" wrapText="1"/>
      <protection locked="0"/>
    </xf>
    <xf numFmtId="49" fontId="30" fillId="16" borderId="16" xfId="0" applyNumberFormat="1" applyFont="1" applyFill="1" applyBorder="1" applyAlignment="1" applyProtection="1">
      <alignment horizontal="center" vertical="center" wrapText="1"/>
      <protection locked="0"/>
    </xf>
    <xf numFmtId="49" fontId="30" fillId="17" borderId="10" xfId="0" applyNumberFormat="1" applyFont="1" applyFill="1" applyBorder="1" applyAlignment="1" applyProtection="1">
      <alignment horizontal="center" vertical="center" wrapText="1"/>
      <protection locked="0"/>
    </xf>
    <xf numFmtId="49" fontId="30" fillId="16" borderId="10" xfId="0" applyNumberFormat="1" applyFont="1" applyFill="1" applyBorder="1" applyAlignment="1" applyProtection="1">
      <alignment horizontal="center" vertical="center" wrapText="1"/>
      <protection locked="0"/>
    </xf>
    <xf numFmtId="0" fontId="0" fillId="16" borderId="13" xfId="0" applyFill="1" applyBorder="1" applyAlignment="1">
      <alignment vertical="center" wrapText="1"/>
    </xf>
    <xf numFmtId="0" fontId="7" fillId="17" borderId="4" xfId="0" applyFont="1" applyFill="1" applyBorder="1" applyAlignment="1" applyProtection="1">
      <alignment horizontal="center" vertical="center" wrapText="1"/>
      <protection locked="0"/>
    </xf>
    <xf numFmtId="0" fontId="29" fillId="17" borderId="17" xfId="0" applyFont="1" applyFill="1" applyBorder="1" applyAlignment="1" applyProtection="1">
      <alignment horizontal="left" vertical="center" wrapText="1"/>
      <protection locked="0"/>
    </xf>
    <xf numFmtId="0" fontId="7" fillId="16" borderId="4" xfId="0" applyFont="1" applyFill="1" applyBorder="1" applyAlignment="1" applyProtection="1">
      <alignment horizontal="center" vertical="center" wrapText="1"/>
      <protection locked="0"/>
    </xf>
    <xf numFmtId="0" fontId="29" fillId="16" borderId="17" xfId="0" applyFont="1" applyFill="1" applyBorder="1" applyAlignment="1" applyProtection="1">
      <alignment horizontal="left" vertical="center" wrapText="1"/>
      <protection locked="0"/>
    </xf>
    <xf numFmtId="0" fontId="29" fillId="68" borderId="17" xfId="0" applyFont="1" applyFill="1" applyBorder="1" applyAlignment="1" applyProtection="1">
      <alignment horizontal="left" vertical="center" wrapText="1"/>
      <protection locked="0"/>
    </xf>
    <xf numFmtId="0" fontId="0" fillId="16" borderId="10" xfId="0" applyFill="1" applyBorder="1" applyAlignment="1">
      <alignment vertical="center" wrapText="1"/>
    </xf>
    <xf numFmtId="0" fontId="7" fillId="17" borderId="7" xfId="0" applyFont="1" applyFill="1" applyBorder="1" applyAlignment="1" applyProtection="1">
      <alignment horizontal="center" vertical="center" wrapText="1"/>
      <protection locked="0"/>
    </xf>
    <xf numFmtId="0" fontId="29" fillId="17" borderId="16" xfId="0" applyFont="1" applyFill="1" applyBorder="1" applyAlignment="1" applyProtection="1">
      <alignment horizontal="left" vertical="center" wrapText="1"/>
      <protection locked="0"/>
    </xf>
    <xf numFmtId="0" fontId="7" fillId="16" borderId="7" xfId="0" applyFont="1" applyFill="1" applyBorder="1" applyAlignment="1" applyProtection="1">
      <alignment horizontal="center" vertical="center" wrapText="1"/>
      <protection locked="0"/>
    </xf>
    <xf numFmtId="0" fontId="29" fillId="16" borderId="16" xfId="0" applyFont="1" applyFill="1" applyBorder="1" applyAlignment="1" applyProtection="1">
      <alignment horizontal="left" vertical="center" wrapText="1"/>
      <protection locked="0"/>
    </xf>
    <xf numFmtId="0" fontId="29" fillId="68" borderId="16" xfId="0" applyFont="1" applyFill="1" applyBorder="1" applyAlignment="1" applyProtection="1">
      <alignment horizontal="left" vertical="center" wrapText="1"/>
      <protection locked="0"/>
    </xf>
    <xf numFmtId="0" fontId="116" fillId="0" borderId="0" xfId="0" applyFont="1" applyAlignment="1">
      <alignment vertical="center"/>
    </xf>
    <xf numFmtId="0" fontId="118" fillId="0" borderId="10" xfId="0" applyFont="1" applyBorder="1" applyAlignment="1">
      <alignment vertical="top"/>
    </xf>
    <xf numFmtId="0" fontId="118" fillId="0" borderId="10" xfId="0" applyFont="1" applyBorder="1" applyAlignment="1">
      <alignment horizontal="justify" vertical="center"/>
    </xf>
    <xf numFmtId="0" fontId="116" fillId="0" borderId="10" xfId="0" applyFont="1" applyBorder="1" applyAlignment="1">
      <alignment horizontal="justify" vertical="center"/>
    </xf>
    <xf numFmtId="0" fontId="1" fillId="69" borderId="10" xfId="0" applyFont="1" applyFill="1" applyBorder="1" applyAlignment="1">
      <alignment horizontal="center" vertical="center"/>
    </xf>
    <xf numFmtId="0" fontId="0" fillId="0" borderId="10" xfId="0" applyBorder="1" applyAlignment="1">
      <alignment horizontal="center" vertical="center"/>
    </xf>
    <xf numFmtId="49" fontId="123" fillId="2" borderId="10" xfId="0" applyNumberFormat="1" applyFont="1" applyFill="1" applyBorder="1" applyAlignment="1">
      <alignment vertical="center" wrapText="1"/>
    </xf>
    <xf numFmtId="49" fontId="123" fillId="3" borderId="10" xfId="0" applyNumberFormat="1" applyFont="1" applyFill="1" applyBorder="1" applyAlignment="1">
      <alignment vertical="center" wrapText="1"/>
    </xf>
    <xf numFmtId="0" fontId="0" fillId="3" borderId="10" xfId="0" applyFill="1" applyBorder="1" applyAlignment="1">
      <alignment horizontal="center" vertical="center"/>
    </xf>
    <xf numFmtId="0" fontId="1" fillId="18" borderId="10" xfId="0" applyFont="1" applyFill="1" applyBorder="1" applyAlignment="1">
      <alignment horizontal="center" vertical="center"/>
    </xf>
    <xf numFmtId="49" fontId="50" fillId="18" borderId="10" xfId="0" applyNumberFormat="1" applyFont="1" applyFill="1" applyBorder="1" applyAlignment="1">
      <alignment vertical="center" wrapText="1"/>
    </xf>
    <xf numFmtId="0" fontId="14" fillId="4" borderId="0" xfId="0" applyFont="1" applyFill="1"/>
    <xf numFmtId="0" fontId="0" fillId="3" borderId="7" xfId="0" applyFill="1" applyBorder="1"/>
    <xf numFmtId="0" fontId="0" fillId="3" borderId="8" xfId="0" applyFill="1" applyBorder="1"/>
    <xf numFmtId="0" fontId="0" fillId="3" borderId="9" xfId="0" applyFill="1" applyBorder="1"/>
    <xf numFmtId="14" fontId="12" fillId="0" borderId="0" xfId="0" applyNumberFormat="1" applyFont="1"/>
    <xf numFmtId="0" fontId="112" fillId="2" borderId="10" xfId="0" applyFont="1" applyFill="1" applyBorder="1" applyAlignment="1" applyProtection="1">
      <alignment horizontal="center" vertical="center"/>
      <protection locked="0"/>
    </xf>
    <xf numFmtId="0" fontId="112" fillId="69" borderId="10" xfId="0" applyFont="1" applyFill="1" applyBorder="1" applyAlignment="1" applyProtection="1">
      <alignment horizontal="center" vertical="center"/>
      <protection locked="0"/>
    </xf>
    <xf numFmtId="0" fontId="78" fillId="24" borderId="92" xfId="248" applyFont="1" applyFill="1" applyBorder="1" applyAlignment="1" applyProtection="1">
      <alignment horizontal="center" vertical="center" wrapText="1"/>
    </xf>
    <xf numFmtId="1" fontId="86" fillId="0" borderId="10" xfId="248" applyNumberFormat="1" applyFill="1" applyBorder="1" applyAlignment="1" applyProtection="1">
      <alignment horizontal="center" vertical="center" wrapText="1"/>
      <protection locked="0"/>
    </xf>
    <xf numFmtId="0" fontId="115" fillId="24" borderId="84" xfId="245" applyFont="1" applyFill="1" applyBorder="1" applyAlignment="1" applyProtection="1">
      <alignment horizontal="center" vertical="center"/>
    </xf>
    <xf numFmtId="0" fontId="115" fillId="24" borderId="95" xfId="245" applyFont="1" applyFill="1" applyBorder="1" applyAlignment="1" applyProtection="1">
      <alignment horizontal="center" vertical="center" wrapText="1"/>
    </xf>
    <xf numFmtId="1" fontId="86" fillId="0" borderId="102" xfId="248" applyNumberFormat="1" applyFill="1" applyBorder="1" applyAlignment="1" applyProtection="1">
      <alignment horizontal="center" vertical="center" wrapText="1"/>
      <protection locked="0"/>
    </xf>
    <xf numFmtId="0" fontId="78" fillId="24" borderId="91" xfId="248" applyFont="1" applyFill="1" applyBorder="1" applyAlignment="1" applyProtection="1">
      <alignment horizontal="center" vertical="center"/>
    </xf>
    <xf numFmtId="0" fontId="78" fillId="24" borderId="104" xfId="248" applyFont="1" applyFill="1" applyBorder="1" applyAlignment="1" applyProtection="1">
      <alignment horizontal="center" vertical="center"/>
    </xf>
    <xf numFmtId="0" fontId="78" fillId="24" borderId="105" xfId="248" applyFont="1" applyFill="1" applyBorder="1" applyAlignment="1" applyProtection="1">
      <alignment horizontal="center" vertical="center" wrapText="1"/>
    </xf>
    <xf numFmtId="0" fontId="127" fillId="83" borderId="106" xfId="0" applyFont="1" applyFill="1" applyBorder="1" applyAlignment="1">
      <alignment horizontal="center" vertical="center" wrapText="1"/>
    </xf>
    <xf numFmtId="0" fontId="131" fillId="84" borderId="106" xfId="0" applyFont="1" applyFill="1" applyBorder="1" applyAlignment="1">
      <alignment horizontal="center" vertical="center" wrapText="1"/>
    </xf>
    <xf numFmtId="0" fontId="127" fillId="84" borderId="106" xfId="0" applyFont="1" applyFill="1" applyBorder="1" applyAlignment="1">
      <alignment horizontal="center" vertical="center" wrapText="1"/>
    </xf>
    <xf numFmtId="14" fontId="133" fillId="85" borderId="109" xfId="0" applyNumberFormat="1" applyFont="1" applyFill="1" applyBorder="1" applyAlignment="1" applyProtection="1">
      <alignment horizontal="center" vertical="center" wrapText="1"/>
      <protection locked="0"/>
    </xf>
    <xf numFmtId="0" fontId="134" fillId="85" borderId="110" xfId="0" applyFont="1" applyFill="1" applyBorder="1" applyAlignment="1" applyProtection="1">
      <alignment vertical="center" wrapText="1"/>
      <protection locked="0"/>
    </xf>
    <xf numFmtId="0" fontId="135" fillId="85" borderId="109" xfId="0" applyFont="1" applyFill="1" applyBorder="1" applyAlignment="1" applyProtection="1">
      <alignment vertical="center" wrapText="1"/>
      <protection locked="0"/>
    </xf>
    <xf numFmtId="14" fontId="133" fillId="86" borderId="113" xfId="0" applyNumberFormat="1" applyFont="1" applyFill="1" applyBorder="1" applyAlignment="1" applyProtection="1">
      <alignment horizontal="center" vertical="center" wrapText="1"/>
      <protection locked="0"/>
    </xf>
    <xf numFmtId="0" fontId="134" fillId="86" borderId="10" xfId="0" applyFont="1" applyFill="1" applyBorder="1" applyAlignment="1" applyProtection="1">
      <alignment vertical="center" wrapText="1"/>
      <protection locked="0"/>
    </xf>
    <xf numFmtId="0" fontId="135" fillId="86" borderId="10" xfId="0" applyFont="1" applyFill="1" applyBorder="1" applyAlignment="1" applyProtection="1">
      <alignment vertical="center" wrapText="1"/>
      <protection locked="0"/>
    </xf>
    <xf numFmtId="0" fontId="135" fillId="86" borderId="114" xfId="0" applyFont="1" applyFill="1" applyBorder="1" applyAlignment="1" applyProtection="1">
      <alignment vertical="center" wrapText="1"/>
      <protection locked="0"/>
    </xf>
    <xf numFmtId="0" fontId="134" fillId="85" borderId="106" xfId="0" applyFont="1" applyFill="1" applyBorder="1" applyAlignment="1" applyProtection="1">
      <alignment vertical="center" wrapText="1"/>
      <protection locked="0"/>
    </xf>
    <xf numFmtId="14" fontId="133" fillId="86" borderId="109" xfId="0" applyNumberFormat="1" applyFont="1" applyFill="1" applyBorder="1" applyAlignment="1" applyProtection="1">
      <alignment horizontal="center" vertical="center" wrapText="1"/>
      <protection locked="0"/>
    </xf>
    <xf numFmtId="0" fontId="134" fillId="86" borderId="109" xfId="0" applyFont="1" applyFill="1" applyBorder="1" applyAlignment="1" applyProtection="1">
      <alignment vertical="center" wrapText="1"/>
      <protection locked="0"/>
    </xf>
    <xf numFmtId="0" fontId="135" fillId="86" borderId="109" xfId="0" applyFont="1" applyFill="1" applyBorder="1" applyAlignment="1" applyProtection="1">
      <alignment vertical="center" wrapText="1"/>
      <protection locked="0"/>
    </xf>
    <xf numFmtId="0" fontId="134" fillId="85" borderId="109" xfId="0" applyFont="1" applyFill="1" applyBorder="1" applyAlignment="1" applyProtection="1">
      <alignment vertical="center" wrapText="1"/>
      <protection locked="0"/>
    </xf>
    <xf numFmtId="0" fontId="135" fillId="85" borderId="110" xfId="0" applyFont="1" applyFill="1" applyBorder="1" applyAlignment="1" applyProtection="1">
      <alignment vertical="center" wrapText="1"/>
      <protection locked="0"/>
    </xf>
    <xf numFmtId="0" fontId="132" fillId="0" borderId="0" xfId="0" applyFont="1"/>
    <xf numFmtId="0" fontId="135" fillId="85" borderId="106" xfId="0" applyFont="1" applyFill="1" applyBorder="1" applyAlignment="1" applyProtection="1">
      <alignment vertical="center" wrapText="1"/>
      <protection locked="0"/>
    </xf>
    <xf numFmtId="0" fontId="128" fillId="86" borderId="109" xfId="0" applyFont="1" applyFill="1" applyBorder="1" applyAlignment="1" applyProtection="1">
      <alignment vertical="center" wrapText="1"/>
      <protection locked="0"/>
    </xf>
    <xf numFmtId="0" fontId="136" fillId="87" borderId="0" xfId="0" applyFont="1" applyFill="1" applyAlignment="1" applyProtection="1">
      <alignment wrapText="1"/>
      <protection locked="0"/>
    </xf>
    <xf numFmtId="0" fontId="135" fillId="86" borderId="106" xfId="0" applyFont="1" applyFill="1" applyBorder="1" applyAlignment="1" applyProtection="1">
      <alignment vertical="center" wrapText="1"/>
      <protection locked="0"/>
    </xf>
    <xf numFmtId="0" fontId="0" fillId="0" borderId="0" xfId="0" applyProtection="1">
      <protection locked="0"/>
    </xf>
    <xf numFmtId="0" fontId="86" fillId="24" borderId="84" xfId="245" applyFill="1" applyBorder="1" applyAlignment="1" applyProtection="1">
      <alignment horizontal="center" vertical="center"/>
    </xf>
    <xf numFmtId="0" fontId="86" fillId="24" borderId="85" xfId="245" applyFill="1" applyBorder="1" applyAlignment="1" applyProtection="1">
      <alignment horizontal="center" vertical="center"/>
    </xf>
    <xf numFmtId="14" fontId="86" fillId="24" borderId="79" xfId="247" applyNumberFormat="1" applyFill="1" applyBorder="1" applyAlignment="1" applyProtection="1">
      <alignment horizontal="center" vertical="center" wrapText="1"/>
    </xf>
    <xf numFmtId="0" fontId="138" fillId="80" borderId="1" xfId="0" applyFont="1" applyFill="1" applyBorder="1" applyAlignment="1">
      <alignment horizontal="center" vertical="center"/>
    </xf>
    <xf numFmtId="0" fontId="138" fillId="80" borderId="11" xfId="0" applyFont="1" applyFill="1" applyBorder="1" applyAlignment="1">
      <alignment horizontal="center" vertical="center"/>
    </xf>
    <xf numFmtId="0" fontId="0" fillId="11" borderId="7" xfId="0" applyFill="1" applyBorder="1"/>
    <xf numFmtId="0" fontId="0" fillId="11" borderId="8" xfId="0" applyFill="1" applyBorder="1"/>
    <xf numFmtId="0" fontId="0" fillId="11" borderId="9" xfId="0" applyFill="1" applyBorder="1"/>
    <xf numFmtId="0" fontId="1" fillId="11" borderId="10" xfId="0" applyFont="1" applyFill="1" applyBorder="1" applyAlignment="1">
      <alignment vertical="center" wrapText="1"/>
    </xf>
    <xf numFmtId="0" fontId="0" fillId="11" borderId="10" xfId="0" applyFill="1" applyBorder="1" applyAlignment="1">
      <alignment vertical="center" wrapText="1"/>
    </xf>
    <xf numFmtId="0" fontId="1" fillId="12" borderId="10" xfId="0" applyFont="1" applyFill="1" applyBorder="1" applyAlignment="1">
      <alignment vertical="center" wrapText="1"/>
    </xf>
    <xf numFmtId="0" fontId="0" fillId="12" borderId="10" xfId="0" applyFill="1" applyBorder="1" applyAlignment="1">
      <alignment vertical="center" wrapText="1"/>
    </xf>
    <xf numFmtId="0" fontId="0" fillId="11" borderId="10" xfId="0" applyFill="1" applyBorder="1" applyAlignment="1">
      <alignment vertical="center"/>
    </xf>
    <xf numFmtId="0" fontId="26" fillId="63" borderId="0" xfId="0" applyFont="1" applyFill="1" applyAlignment="1">
      <alignment vertical="center"/>
    </xf>
    <xf numFmtId="0" fontId="29" fillId="3" borderId="10" xfId="0" applyFont="1" applyFill="1" applyBorder="1" applyAlignment="1">
      <alignment horizontal="left" vertical="center" wrapText="1"/>
    </xf>
    <xf numFmtId="0" fontId="0" fillId="3" borderId="10" xfId="0" applyFill="1" applyBorder="1" applyAlignment="1">
      <alignment vertical="center" wrapText="1"/>
    </xf>
    <xf numFmtId="0" fontId="29" fillId="2" borderId="10" xfId="0" applyFont="1" applyFill="1" applyBorder="1" applyAlignment="1">
      <alignment horizontal="left" vertical="center" wrapText="1"/>
    </xf>
    <xf numFmtId="0" fontId="0" fillId="2" borderId="10" xfId="0" applyFill="1" applyBorder="1" applyAlignment="1">
      <alignment vertical="center" wrapText="1"/>
    </xf>
    <xf numFmtId="0" fontId="1" fillId="2" borderId="10" xfId="0" applyFont="1" applyFill="1" applyBorder="1" applyAlignment="1">
      <alignment vertical="center" wrapText="1"/>
    </xf>
    <xf numFmtId="0" fontId="0" fillId="3" borderId="10" xfId="0" applyFill="1" applyBorder="1" applyAlignment="1">
      <alignment horizontal="left" vertical="center"/>
    </xf>
    <xf numFmtId="0" fontId="1" fillId="3" borderId="10" xfId="0" applyFont="1" applyFill="1" applyBorder="1" applyAlignment="1">
      <alignment vertical="center" wrapText="1"/>
    </xf>
    <xf numFmtId="0" fontId="20" fillId="61" borderId="10" xfId="0" applyFont="1" applyFill="1" applyBorder="1" applyAlignment="1">
      <alignment horizontal="center" vertical="center"/>
    </xf>
    <xf numFmtId="0" fontId="106" fillId="4" borderId="0" xfId="0" applyFont="1" applyFill="1" applyAlignment="1">
      <alignment horizontal="center" vertical="center" wrapText="1"/>
    </xf>
    <xf numFmtId="0" fontId="26" fillId="52" borderId="0" xfId="0" applyFont="1" applyFill="1" applyAlignment="1">
      <alignment vertical="center"/>
    </xf>
    <xf numFmtId="0" fontId="20" fillId="42" borderId="62" xfId="0" applyFont="1" applyFill="1" applyBorder="1" applyAlignment="1">
      <alignment vertical="center"/>
    </xf>
    <xf numFmtId="0" fontId="20" fillId="42" borderId="63" xfId="0" applyFont="1" applyFill="1" applyBorder="1" applyAlignment="1">
      <alignment vertical="center"/>
    </xf>
    <xf numFmtId="0" fontId="20" fillId="42" borderId="64" xfId="0" applyFont="1" applyFill="1" applyBorder="1" applyAlignment="1">
      <alignment horizontal="center" vertical="center"/>
    </xf>
    <xf numFmtId="0" fontId="20" fillId="42" borderId="65" xfId="0" applyFont="1" applyFill="1" applyBorder="1" applyAlignment="1">
      <alignment horizontal="center" vertical="center"/>
    </xf>
    <xf numFmtId="0" fontId="20" fillId="61" borderId="7" xfId="0" applyFont="1" applyFill="1" applyBorder="1" applyAlignment="1">
      <alignment horizontal="center" vertical="center"/>
    </xf>
    <xf numFmtId="0" fontId="20" fillId="42" borderId="10" xfId="0" applyFont="1" applyFill="1" applyBorder="1" applyAlignment="1">
      <alignment horizontal="center" vertical="center"/>
    </xf>
    <xf numFmtId="0" fontId="20" fillId="42" borderId="7" xfId="0" applyFont="1" applyFill="1" applyBorder="1" applyAlignment="1">
      <alignment horizontal="center" vertical="center"/>
    </xf>
    <xf numFmtId="0" fontId="20" fillId="61" borderId="13" xfId="0" applyFont="1" applyFill="1" applyBorder="1" applyAlignment="1">
      <alignment horizontal="center" vertical="center"/>
    </xf>
    <xf numFmtId="0" fontId="20" fillId="42" borderId="20" xfId="0" applyFont="1" applyFill="1" applyBorder="1" applyAlignment="1">
      <alignment vertical="center"/>
    </xf>
    <xf numFmtId="0" fontId="20" fillId="42" borderId="9" xfId="0" applyFont="1" applyFill="1" applyBorder="1" applyAlignment="1">
      <alignment vertical="center"/>
    </xf>
    <xf numFmtId="0" fontId="20" fillId="42" borderId="8" xfId="0" applyFont="1" applyFill="1" applyBorder="1" applyAlignment="1">
      <alignment horizontal="center" vertical="center"/>
    </xf>
    <xf numFmtId="0" fontId="20" fillId="42" borderId="61" xfId="0" applyFont="1" applyFill="1" applyBorder="1" applyAlignment="1">
      <alignment vertical="center"/>
    </xf>
    <xf numFmtId="0" fontId="20" fillId="42" borderId="6" xfId="0" applyFont="1" applyFill="1" applyBorder="1" applyAlignment="1">
      <alignment vertical="center"/>
    </xf>
    <xf numFmtId="0" fontId="20" fillId="42" borderId="4" xfId="0" applyFont="1" applyFill="1" applyBorder="1" applyAlignment="1">
      <alignment horizontal="center" vertical="center"/>
    </xf>
    <xf numFmtId="0" fontId="20" fillId="42" borderId="5" xfId="0" applyFont="1" applyFill="1" applyBorder="1" applyAlignment="1">
      <alignment horizontal="center" vertical="center"/>
    </xf>
    <xf numFmtId="0" fontId="20" fillId="61" borderId="4" xfId="0" applyFont="1" applyFill="1" applyBorder="1" applyAlignment="1">
      <alignment horizontal="center" vertical="center"/>
    </xf>
    <xf numFmtId="0" fontId="20" fillId="42" borderId="13" xfId="0" applyFont="1" applyFill="1" applyBorder="1" applyAlignment="1">
      <alignment horizontal="center" vertical="center"/>
    </xf>
    <xf numFmtId="0" fontId="67" fillId="4" borderId="2" xfId="0" applyFont="1" applyFill="1" applyBorder="1" applyAlignment="1">
      <alignment horizontal="center" vertical="center" wrapText="1"/>
    </xf>
    <xf numFmtId="0" fontId="2" fillId="61" borderId="7" xfId="0" applyFont="1" applyFill="1" applyBorder="1" applyAlignment="1">
      <alignment vertical="center" wrapText="1"/>
    </xf>
    <xf numFmtId="0" fontId="2" fillId="61" borderId="8" xfId="0" applyFont="1" applyFill="1" applyBorder="1" applyAlignment="1">
      <alignment vertical="center" wrapText="1"/>
    </xf>
    <xf numFmtId="0" fontId="2" fillId="61" borderId="9" xfId="0" applyFont="1" applyFill="1" applyBorder="1" applyAlignment="1">
      <alignment vertical="center" wrapText="1"/>
    </xf>
    <xf numFmtId="0" fontId="0" fillId="9" borderId="10" xfId="0" applyFill="1" applyBorder="1" applyAlignment="1">
      <alignment vertical="center"/>
    </xf>
    <xf numFmtId="0" fontId="3" fillId="11" borderId="10" xfId="0" applyFont="1" applyFill="1" applyBorder="1" applyAlignment="1" applyProtection="1">
      <alignment vertical="center" wrapText="1"/>
      <protection locked="0"/>
    </xf>
    <xf numFmtId="0" fontId="1" fillId="9" borderId="10" xfId="0" applyFont="1" applyFill="1" applyBorder="1" applyAlignment="1">
      <alignment horizontal="left" vertical="center"/>
    </xf>
    <xf numFmtId="0" fontId="3" fillId="11" borderId="7" xfId="0" applyFont="1" applyFill="1" applyBorder="1" applyAlignment="1" applyProtection="1">
      <alignment horizontal="left" vertical="center"/>
      <protection locked="0"/>
    </xf>
    <xf numFmtId="0" fontId="3" fillId="11" borderId="8" xfId="0" applyFont="1" applyFill="1" applyBorder="1" applyAlignment="1" applyProtection="1">
      <alignment horizontal="left" vertical="center"/>
      <protection locked="0"/>
    </xf>
    <xf numFmtId="0" fontId="3" fillId="11" borderId="9" xfId="0" applyFont="1" applyFill="1" applyBorder="1" applyAlignment="1" applyProtection="1">
      <alignment horizontal="left" vertical="center"/>
      <protection locked="0"/>
    </xf>
    <xf numFmtId="0" fontId="1" fillId="9" borderId="10" xfId="0" applyFont="1" applyFill="1" applyBorder="1" applyAlignment="1">
      <alignment vertical="center"/>
    </xf>
    <xf numFmtId="0" fontId="3" fillId="11" borderId="10" xfId="0" applyFont="1" applyFill="1" applyBorder="1" applyAlignment="1" applyProtection="1">
      <alignment horizontal="left" vertical="center" wrapText="1"/>
      <protection locked="0"/>
    </xf>
    <xf numFmtId="0" fontId="0" fillId="9" borderId="10" xfId="0" applyFill="1" applyBorder="1" applyAlignment="1">
      <alignment horizontal="left" vertical="center"/>
    </xf>
    <xf numFmtId="0" fontId="8" fillId="9" borderId="12" xfId="0" applyFont="1" applyFill="1" applyBorder="1" applyAlignment="1">
      <alignment horizontal="center" vertical="center"/>
    </xf>
    <xf numFmtId="0" fontId="8" fillId="9" borderId="0" xfId="0" applyFont="1" applyFill="1" applyAlignment="1">
      <alignment horizontal="center" vertical="center"/>
    </xf>
    <xf numFmtId="0" fontId="8" fillId="9" borderId="14" xfId="0" applyFont="1" applyFill="1" applyBorder="1" applyAlignment="1">
      <alignment horizontal="center" vertical="center"/>
    </xf>
    <xf numFmtId="0" fontId="7" fillId="9" borderId="4"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6" xfId="0" applyFont="1" applyFill="1" applyBorder="1" applyAlignment="1">
      <alignment horizontal="center" vertical="center"/>
    </xf>
    <xf numFmtId="0" fontId="0" fillId="4" borderId="0" xfId="0" applyFill="1"/>
    <xf numFmtId="0" fontId="3" fillId="11" borderId="10" xfId="0" applyFont="1" applyFill="1" applyBorder="1" applyAlignment="1" applyProtection="1">
      <alignment wrapText="1"/>
      <protection locked="0"/>
    </xf>
    <xf numFmtId="0" fontId="5" fillId="6" borderId="10" xfId="0" applyFont="1" applyFill="1" applyBorder="1" applyAlignment="1">
      <alignment horizontal="center" vertical="center"/>
    </xf>
    <xf numFmtId="0" fontId="10" fillId="3" borderId="7" xfId="0" applyFont="1" applyFill="1" applyBorder="1" applyAlignment="1" applyProtection="1">
      <alignment horizontal="left" vertical="center" wrapText="1"/>
      <protection locked="0"/>
    </xf>
    <xf numFmtId="0" fontId="10" fillId="3" borderId="8" xfId="0" applyFont="1" applyFill="1" applyBorder="1" applyAlignment="1" applyProtection="1">
      <alignment horizontal="left" vertical="center" wrapText="1"/>
      <protection locked="0"/>
    </xf>
    <xf numFmtId="0" fontId="10" fillId="3" borderId="9" xfId="0" applyFont="1" applyFill="1" applyBorder="1" applyAlignment="1" applyProtection="1">
      <alignment horizontal="left" vertical="center" wrapText="1"/>
      <protection locked="0"/>
    </xf>
    <xf numFmtId="0" fontId="2" fillId="2" borderId="1" xfId="0" applyFont="1" applyFill="1" applyBorder="1" applyAlignment="1">
      <alignment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2" fillId="2" borderId="5" xfId="0" applyFont="1" applyFill="1" applyBorder="1" applyAlignment="1">
      <alignment vertical="center"/>
    </xf>
    <xf numFmtId="0" fontId="2" fillId="2" borderId="6" xfId="0" applyFont="1" applyFill="1" applyBorder="1" applyAlignment="1">
      <alignment vertical="center"/>
    </xf>
    <xf numFmtId="0" fontId="9" fillId="5" borderId="8" xfId="0" applyFont="1" applyFill="1" applyBorder="1" applyAlignment="1">
      <alignment horizontal="left" vertical="center" wrapText="1"/>
    </xf>
    <xf numFmtId="0" fontId="9" fillId="5" borderId="9" xfId="0" applyFont="1" applyFill="1" applyBorder="1" applyAlignment="1">
      <alignment horizontal="left" vertical="center" wrapText="1"/>
    </xf>
    <xf numFmtId="0" fontId="6" fillId="4" borderId="7" xfId="0" applyFont="1" applyFill="1" applyBorder="1" applyAlignment="1">
      <alignment vertical="center"/>
    </xf>
    <xf numFmtId="0" fontId="6" fillId="4" borderId="8" xfId="0" applyFont="1" applyFill="1" applyBorder="1" applyAlignment="1">
      <alignment vertical="center"/>
    </xf>
    <xf numFmtId="0" fontId="6" fillId="4" borderId="9" xfId="0" applyFont="1" applyFill="1" applyBorder="1" applyAlignment="1">
      <alignment vertical="center"/>
    </xf>
    <xf numFmtId="0" fontId="0" fillId="2" borderId="7" xfId="0" applyFill="1" applyBorder="1" applyAlignment="1" applyProtection="1">
      <alignment vertical="center"/>
      <protection locked="0"/>
    </xf>
    <xf numFmtId="0" fontId="0" fillId="2" borderId="8" xfId="0" applyFill="1" applyBorder="1" applyAlignment="1" applyProtection="1">
      <alignment vertical="center"/>
      <protection locked="0"/>
    </xf>
    <xf numFmtId="0" fontId="0" fillId="2" borderId="9" xfId="0" applyFill="1" applyBorder="1" applyAlignment="1" applyProtection="1">
      <alignment vertical="center"/>
      <protection locked="0"/>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3" borderId="7" xfId="0" applyFont="1" applyFill="1" applyBorder="1" applyAlignment="1" applyProtection="1">
      <alignment vertical="center" wrapText="1"/>
      <protection locked="0"/>
    </xf>
    <xf numFmtId="0" fontId="10" fillId="3" borderId="8" xfId="0" applyFont="1" applyFill="1" applyBorder="1" applyAlignment="1" applyProtection="1">
      <alignment vertical="center" wrapText="1"/>
      <protection locked="0"/>
    </xf>
    <xf numFmtId="0" fontId="2" fillId="2" borderId="7" xfId="0" applyFont="1" applyFill="1" applyBorder="1" applyAlignment="1">
      <alignment horizontal="left" vertical="center"/>
    </xf>
    <xf numFmtId="0" fontId="2" fillId="2" borderId="8" xfId="0" applyFont="1" applyFill="1" applyBorder="1" applyAlignment="1">
      <alignment horizontal="left" vertical="center"/>
    </xf>
    <xf numFmtId="0" fontId="2" fillId="2" borderId="9" xfId="0" applyFont="1" applyFill="1" applyBorder="1" applyAlignment="1">
      <alignment horizontal="left" vertical="center"/>
    </xf>
    <xf numFmtId="0" fontId="10" fillId="3" borderId="1" xfId="0" applyFont="1" applyFill="1" applyBorder="1" applyAlignment="1" applyProtection="1">
      <alignment horizontal="left" vertical="center" wrapText="1"/>
      <protection locked="0"/>
    </xf>
    <xf numFmtId="0" fontId="10" fillId="3" borderId="2" xfId="0" applyFont="1" applyFill="1" applyBorder="1" applyAlignment="1" applyProtection="1">
      <alignment horizontal="left" vertical="center" wrapText="1"/>
      <protection locked="0"/>
    </xf>
    <xf numFmtId="0" fontId="10" fillId="3" borderId="3" xfId="0" applyFont="1" applyFill="1" applyBorder="1" applyAlignment="1" applyProtection="1">
      <alignment horizontal="left" vertical="center" wrapText="1"/>
      <protection locked="0"/>
    </xf>
    <xf numFmtId="0" fontId="10" fillId="3" borderId="4" xfId="0" applyFont="1" applyFill="1" applyBorder="1" applyAlignment="1" applyProtection="1">
      <alignment horizontal="left" vertical="center" wrapText="1"/>
      <protection locked="0"/>
    </xf>
    <xf numFmtId="0" fontId="10" fillId="3" borderId="5" xfId="0" applyFont="1" applyFill="1" applyBorder="1" applyAlignment="1" applyProtection="1">
      <alignment horizontal="left" vertical="center" wrapText="1"/>
      <protection locked="0"/>
    </xf>
    <xf numFmtId="0" fontId="10" fillId="3" borderId="6" xfId="0" applyFont="1" applyFill="1" applyBorder="1" applyAlignment="1" applyProtection="1">
      <alignment horizontal="left" vertical="center" wrapText="1"/>
      <protection locked="0"/>
    </xf>
    <xf numFmtId="0" fontId="10" fillId="2" borderId="7" xfId="0" applyFont="1" applyFill="1" applyBorder="1" applyAlignment="1">
      <alignment horizontal="left" vertical="center"/>
    </xf>
    <xf numFmtId="0" fontId="10" fillId="2" borderId="8" xfId="0" applyFont="1" applyFill="1" applyBorder="1" applyAlignment="1">
      <alignment horizontal="left" vertical="center"/>
    </xf>
    <xf numFmtId="0" fontId="10" fillId="2" borderId="9" xfId="0" applyFont="1" applyFill="1" applyBorder="1" applyAlignment="1">
      <alignment horizontal="left" vertical="center"/>
    </xf>
    <xf numFmtId="49" fontId="10" fillId="3" borderId="7" xfId="0" applyNumberFormat="1" applyFont="1" applyFill="1" applyBorder="1" applyAlignment="1" applyProtection="1">
      <alignment horizontal="left" vertical="center" wrapText="1"/>
      <protection locked="0"/>
    </xf>
    <xf numFmtId="49" fontId="10" fillId="3" borderId="8" xfId="0" applyNumberFormat="1" applyFont="1" applyFill="1" applyBorder="1" applyAlignment="1" applyProtection="1">
      <alignment horizontal="left" vertical="center" wrapText="1"/>
      <protection locked="0"/>
    </xf>
    <xf numFmtId="49" fontId="10" fillId="3" borderId="9" xfId="0" applyNumberFormat="1" applyFont="1" applyFill="1" applyBorder="1" applyAlignment="1" applyProtection="1">
      <alignment horizontal="left" vertical="center" wrapText="1"/>
      <protection locked="0"/>
    </xf>
    <xf numFmtId="0" fontId="10" fillId="2" borderId="1" xfId="0" applyFont="1" applyFill="1" applyBorder="1" applyAlignment="1">
      <alignment horizontal="left" vertical="center"/>
    </xf>
    <xf numFmtId="0" fontId="10" fillId="2" borderId="2" xfId="0" applyFont="1" applyFill="1" applyBorder="1" applyAlignment="1">
      <alignment horizontal="left" vertical="center"/>
    </xf>
    <xf numFmtId="0" fontId="10" fillId="2" borderId="3" xfId="0" applyFont="1" applyFill="1" applyBorder="1" applyAlignment="1">
      <alignment horizontal="lef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2" fillId="2" borderId="12" xfId="0" applyFont="1" applyFill="1" applyBorder="1" applyAlignment="1">
      <alignment horizontal="center" vertical="center"/>
    </xf>
    <xf numFmtId="0" fontId="2" fillId="2" borderId="0" xfId="0" applyFont="1" applyFill="1" applyAlignment="1">
      <alignment horizontal="center" vertical="center"/>
    </xf>
    <xf numFmtId="0" fontId="2" fillId="2" borderId="14" xfId="0" applyFont="1" applyFill="1" applyBorder="1" applyAlignment="1">
      <alignment horizontal="center" vertical="center"/>
    </xf>
    <xf numFmtId="0" fontId="124" fillId="6" borderId="11" xfId="0" applyFont="1" applyFill="1" applyBorder="1" applyAlignment="1" applyProtection="1">
      <alignment horizontal="center" vertical="center"/>
      <protection locked="0"/>
    </xf>
    <xf numFmtId="0" fontId="10" fillId="2" borderId="1" xfId="0" applyFont="1" applyFill="1" applyBorder="1" applyAlignment="1">
      <alignment vertical="center"/>
    </xf>
    <xf numFmtId="0" fontId="10" fillId="2" borderId="2" xfId="0" applyFont="1" applyFill="1" applyBorder="1" applyAlignment="1">
      <alignment vertical="center"/>
    </xf>
    <xf numFmtId="0" fontId="4" fillId="2" borderId="10" xfId="0" applyFont="1" applyFill="1" applyBorder="1" applyAlignment="1" applyProtection="1">
      <alignment horizontal="left" vertical="center" wrapText="1"/>
      <protection locked="0"/>
    </xf>
    <xf numFmtId="0" fontId="6" fillId="4" borderId="10" xfId="0" applyFont="1" applyFill="1" applyBorder="1" applyAlignment="1">
      <alignment horizontal="left" vertical="center"/>
    </xf>
    <xf numFmtId="0" fontId="4" fillId="69" borderId="10" xfId="0" applyFont="1" applyFill="1" applyBorder="1" applyAlignment="1" applyProtection="1">
      <alignment horizontal="left" vertical="center" wrapText="1"/>
      <protection locked="0"/>
    </xf>
    <xf numFmtId="0" fontId="9" fillId="4" borderId="8" xfId="0" applyFont="1" applyFill="1" applyBorder="1" applyAlignment="1">
      <alignment horizontal="left" vertical="center" wrapText="1"/>
    </xf>
    <xf numFmtId="0" fontId="9" fillId="4" borderId="9" xfId="0" applyFont="1" applyFill="1" applyBorder="1" applyAlignment="1">
      <alignment horizontal="left" vertical="center" wrapText="1"/>
    </xf>
    <xf numFmtId="0" fontId="0" fillId="12" borderId="7" xfId="0" applyFill="1" applyBorder="1" applyAlignment="1">
      <alignment vertical="center" wrapText="1"/>
    </xf>
    <xf numFmtId="0" fontId="0" fillId="12" borderId="8" xfId="0" applyFill="1" applyBorder="1" applyAlignment="1">
      <alignment vertical="center" wrapText="1"/>
    </xf>
    <xf numFmtId="0" fontId="0" fillId="12" borderId="9" xfId="0" applyFill="1" applyBorder="1" applyAlignment="1">
      <alignment vertical="center" wrapText="1"/>
    </xf>
    <xf numFmtId="0" fontId="28" fillId="9" borderId="10" xfId="0" applyFont="1" applyFill="1" applyBorder="1" applyAlignment="1">
      <alignment horizontal="left" vertical="center" wrapText="1"/>
    </xf>
    <xf numFmtId="0" fontId="28" fillId="12" borderId="10" xfId="0" applyFont="1" applyFill="1" applyBorder="1" applyAlignment="1">
      <alignment horizontal="left" vertical="center" wrapText="1"/>
    </xf>
    <xf numFmtId="0" fontId="0" fillId="12" borderId="10" xfId="0" applyFill="1" applyBorder="1" applyAlignment="1">
      <alignment vertical="center"/>
    </xf>
    <xf numFmtId="0" fontId="0" fillId="12" borderId="10" xfId="0" applyFill="1" applyBorder="1" applyAlignment="1">
      <alignment wrapText="1"/>
    </xf>
    <xf numFmtId="0" fontId="0" fillId="12" borderId="10" xfId="0" applyFill="1" applyBorder="1"/>
    <xf numFmtId="0" fontId="40" fillId="12" borderId="10" xfId="0" applyFont="1" applyFill="1" applyBorder="1" applyAlignment="1">
      <alignment horizontal="center" vertical="center" wrapText="1"/>
    </xf>
    <xf numFmtId="0" fontId="40" fillId="9" borderId="10" xfId="0" applyFont="1" applyFill="1" applyBorder="1" applyAlignment="1">
      <alignment horizontal="center" vertical="center" wrapText="1"/>
    </xf>
    <xf numFmtId="0" fontId="8" fillId="12" borderId="10" xfId="0" applyFont="1" applyFill="1" applyBorder="1" applyAlignment="1">
      <alignment horizontal="center" vertical="center" wrapText="1"/>
    </xf>
    <xf numFmtId="0" fontId="6" fillId="10" borderId="5" xfId="0" applyFont="1" applyFill="1" applyBorder="1" applyAlignment="1">
      <alignment horizontal="center" vertical="center"/>
    </xf>
    <xf numFmtId="0" fontId="0" fillId="12" borderId="10" xfId="0" applyFill="1" applyBorder="1" applyAlignment="1">
      <alignment horizontal="left" vertical="center" wrapText="1"/>
    </xf>
    <xf numFmtId="0" fontId="0" fillId="12" borderId="10" xfId="0" applyFill="1" applyBorder="1" applyAlignment="1">
      <alignment horizontal="left" vertical="center"/>
    </xf>
    <xf numFmtId="0" fontId="5" fillId="59" borderId="10" xfId="0" applyFont="1" applyFill="1" applyBorder="1" applyAlignment="1">
      <alignment horizontal="center" vertical="center"/>
    </xf>
    <xf numFmtId="0" fontId="6" fillId="10" borderId="7" xfId="0" applyFont="1" applyFill="1" applyBorder="1" applyAlignment="1">
      <alignment horizontal="left" vertical="center"/>
    </xf>
    <xf numFmtId="0" fontId="6" fillId="10" borderId="8" xfId="0" applyFont="1" applyFill="1" applyBorder="1" applyAlignment="1">
      <alignment horizontal="left" vertical="center"/>
    </xf>
    <xf numFmtId="0" fontId="3" fillId="0" borderId="10" xfId="0" applyFont="1" applyBorder="1" applyAlignment="1" applyProtection="1">
      <alignment horizontal="left" vertical="center"/>
      <protection locked="0"/>
    </xf>
    <xf numFmtId="0" fontId="1" fillId="12" borderId="10" xfId="0" applyFont="1" applyFill="1" applyBorder="1" applyAlignment="1">
      <alignment horizontal="left" vertical="center"/>
    </xf>
    <xf numFmtId="0" fontId="1" fillId="12" borderId="10" xfId="0" applyFont="1" applyFill="1" applyBorder="1" applyAlignment="1">
      <alignment vertical="center"/>
    </xf>
    <xf numFmtId="0" fontId="3" fillId="0" borderId="10" xfId="0" applyFont="1" applyBorder="1" applyAlignment="1" applyProtection="1">
      <alignment horizontal="left" vertical="center" wrapText="1"/>
      <protection locked="0"/>
    </xf>
    <xf numFmtId="0" fontId="3" fillId="0" borderId="10" xfId="0" applyFont="1" applyBorder="1" applyAlignment="1" applyProtection="1">
      <alignment wrapText="1"/>
      <protection locked="0"/>
    </xf>
    <xf numFmtId="0" fontId="3" fillId="0" borderId="10" xfId="0" applyFont="1" applyBorder="1" applyAlignment="1" applyProtection="1">
      <alignment vertical="center" wrapText="1"/>
      <protection locked="0"/>
    </xf>
    <xf numFmtId="0" fontId="115" fillId="19" borderId="8" xfId="0" applyFont="1" applyFill="1" applyBorder="1" applyAlignment="1">
      <alignment horizontal="left" vertical="center"/>
    </xf>
    <xf numFmtId="0" fontId="8" fillId="67" borderId="1" xfId="0" applyFont="1" applyFill="1" applyBorder="1" applyAlignment="1">
      <alignment horizontal="center" vertical="center"/>
    </xf>
    <xf numFmtId="0" fontId="8" fillId="67" borderId="2" xfId="0" applyFont="1" applyFill="1" applyBorder="1" applyAlignment="1">
      <alignment horizontal="center" vertical="center"/>
    </xf>
    <xf numFmtId="0" fontId="8" fillId="67" borderId="3" xfId="0" applyFont="1" applyFill="1" applyBorder="1" applyAlignment="1">
      <alignment horizontal="center" vertical="center"/>
    </xf>
    <xf numFmtId="0" fontId="8" fillId="67" borderId="12" xfId="0" applyFont="1" applyFill="1" applyBorder="1" applyAlignment="1">
      <alignment horizontal="center" vertical="center"/>
    </xf>
    <xf numFmtId="0" fontId="8" fillId="67" borderId="0" xfId="0" applyFont="1" applyFill="1" applyAlignment="1">
      <alignment horizontal="center" vertical="center"/>
    </xf>
    <xf numFmtId="0" fontId="8" fillId="67" borderId="14" xfId="0" applyFont="1" applyFill="1" applyBorder="1" applyAlignment="1">
      <alignment horizontal="center" vertical="center"/>
    </xf>
    <xf numFmtId="0" fontId="7" fillId="67" borderId="12" xfId="0" applyFont="1" applyFill="1" applyBorder="1" applyAlignment="1">
      <alignment horizontal="center" vertical="center"/>
    </xf>
    <xf numFmtId="0" fontId="7" fillId="67" borderId="0" xfId="0" applyFont="1" applyFill="1" applyAlignment="1">
      <alignment horizontal="center" vertical="center"/>
    </xf>
    <xf numFmtId="0" fontId="7" fillId="67" borderId="14" xfId="0" applyFont="1" applyFill="1" applyBorder="1" applyAlignment="1">
      <alignment horizontal="center" vertical="center"/>
    </xf>
    <xf numFmtId="0" fontId="6" fillId="19" borderId="8" xfId="0" applyFont="1" applyFill="1" applyBorder="1" applyAlignment="1">
      <alignment horizontal="left" vertical="center"/>
    </xf>
    <xf numFmtId="0" fontId="8" fillId="70" borderId="1" xfId="0" applyFont="1" applyFill="1" applyBorder="1" applyAlignment="1">
      <alignment horizontal="center" vertical="center"/>
    </xf>
    <xf numFmtId="0" fontId="8" fillId="70" borderId="2" xfId="0" applyFont="1" applyFill="1" applyBorder="1" applyAlignment="1">
      <alignment horizontal="center" vertical="center"/>
    </xf>
    <xf numFmtId="0" fontId="8" fillId="70" borderId="3" xfId="0" applyFont="1" applyFill="1" applyBorder="1" applyAlignment="1">
      <alignment horizontal="center" vertical="center"/>
    </xf>
    <xf numFmtId="0" fontId="7" fillId="70" borderId="12" xfId="0" applyFont="1" applyFill="1" applyBorder="1" applyAlignment="1">
      <alignment horizontal="center" vertical="center"/>
    </xf>
    <xf numFmtId="0" fontId="7" fillId="70" borderId="0" xfId="0" applyFont="1" applyFill="1" applyAlignment="1">
      <alignment horizontal="center" vertical="center"/>
    </xf>
    <xf numFmtId="0" fontId="7" fillId="70" borderId="14" xfId="0" applyFont="1" applyFill="1" applyBorder="1" applyAlignment="1">
      <alignment horizontal="center" vertical="center"/>
    </xf>
    <xf numFmtId="0" fontId="6" fillId="71" borderId="12" xfId="0" applyFont="1" applyFill="1" applyBorder="1" applyAlignment="1">
      <alignment horizontal="left" vertical="center"/>
    </xf>
    <xf numFmtId="0" fontId="6" fillId="71" borderId="0" xfId="0" applyFont="1" applyFill="1" applyAlignment="1">
      <alignment horizontal="left" vertical="center"/>
    </xf>
    <xf numFmtId="0" fontId="6" fillId="71" borderId="14" xfId="0" applyFont="1" applyFill="1" applyBorder="1" applyAlignment="1">
      <alignment horizontal="left" vertical="center"/>
    </xf>
    <xf numFmtId="0" fontId="0" fillId="70" borderId="10" xfId="0" applyFill="1" applyBorder="1" applyAlignment="1">
      <alignment vertical="center"/>
    </xf>
    <xf numFmtId="0" fontId="0" fillId="72" borderId="7" xfId="0" applyFill="1" applyBorder="1" applyAlignment="1">
      <alignment wrapText="1"/>
    </xf>
    <xf numFmtId="0" fontId="0" fillId="72" borderId="8" xfId="0" applyFill="1" applyBorder="1" applyAlignment="1">
      <alignment wrapText="1"/>
    </xf>
    <xf numFmtId="0" fontId="0" fillId="72" borderId="9" xfId="0" applyFill="1" applyBorder="1" applyAlignment="1">
      <alignment wrapText="1"/>
    </xf>
    <xf numFmtId="0" fontId="1" fillId="70" borderId="10" xfId="0" applyFont="1" applyFill="1" applyBorder="1" applyAlignment="1">
      <alignment horizontal="left" vertical="center"/>
    </xf>
    <xf numFmtId="0" fontId="0" fillId="72" borderId="10" xfId="0" applyFill="1" applyBorder="1" applyAlignment="1">
      <alignment horizontal="left" vertical="center" wrapText="1"/>
    </xf>
    <xf numFmtId="0" fontId="8" fillId="70" borderId="12" xfId="0" applyFont="1" applyFill="1" applyBorder="1" applyAlignment="1">
      <alignment horizontal="center" vertical="center"/>
    </xf>
    <xf numFmtId="0" fontId="8" fillId="70" borderId="0" xfId="0" applyFont="1" applyFill="1" applyAlignment="1">
      <alignment horizontal="center" vertical="center"/>
    </xf>
    <xf numFmtId="0" fontId="8" fillId="70" borderId="14" xfId="0" applyFont="1" applyFill="1" applyBorder="1" applyAlignment="1">
      <alignment horizontal="center" vertical="center"/>
    </xf>
    <xf numFmtId="0" fontId="0" fillId="72" borderId="7" xfId="0" applyFill="1" applyBorder="1" applyAlignment="1">
      <alignment vertical="center" wrapText="1"/>
    </xf>
    <xf numFmtId="0" fontId="0" fillId="72" borderId="8" xfId="0" applyFill="1" applyBorder="1" applyAlignment="1">
      <alignment vertical="center" wrapText="1"/>
    </xf>
    <xf numFmtId="0" fontId="0" fillId="72" borderId="9" xfId="0" applyFill="1" applyBorder="1" applyAlignment="1">
      <alignment vertical="center" wrapText="1"/>
    </xf>
    <xf numFmtId="0" fontId="1" fillId="70" borderId="10" xfId="0" applyFont="1" applyFill="1" applyBorder="1" applyAlignment="1">
      <alignment vertical="center"/>
    </xf>
    <xf numFmtId="0" fontId="0" fillId="72" borderId="1" xfId="0" applyFill="1" applyBorder="1" applyAlignment="1">
      <alignment horizontal="left" vertical="center" wrapText="1"/>
    </xf>
    <xf numFmtId="0" fontId="0" fillId="72" borderId="2" xfId="0" applyFill="1" applyBorder="1" applyAlignment="1">
      <alignment horizontal="left" vertical="center" wrapText="1"/>
    </xf>
    <xf numFmtId="0" fontId="0" fillId="72" borderId="3" xfId="0" applyFill="1" applyBorder="1" applyAlignment="1">
      <alignment horizontal="left" vertical="center" wrapText="1"/>
    </xf>
    <xf numFmtId="0" fontId="0" fillId="72" borderId="4" xfId="0" applyFill="1" applyBorder="1" applyAlignment="1">
      <alignment horizontal="left" vertical="center" wrapText="1"/>
    </xf>
    <xf numFmtId="0" fontId="0" fillId="72" borderId="5" xfId="0" applyFill="1" applyBorder="1" applyAlignment="1">
      <alignment horizontal="left" vertical="center" wrapText="1"/>
    </xf>
    <xf numFmtId="0" fontId="0" fillId="72" borderId="6" xfId="0" applyFill="1" applyBorder="1" applyAlignment="1">
      <alignment horizontal="left" vertical="center" wrapText="1"/>
    </xf>
    <xf numFmtId="0" fontId="0" fillId="70" borderId="10" xfId="0" applyFill="1" applyBorder="1" applyAlignment="1">
      <alignment horizontal="left" vertical="center"/>
    </xf>
    <xf numFmtId="0" fontId="5" fillId="6" borderId="7" xfId="0" applyFont="1" applyFill="1" applyBorder="1" applyAlignment="1">
      <alignment horizontal="center" vertical="center"/>
    </xf>
    <xf numFmtId="0" fontId="5" fillId="6" borderId="9" xfId="0" applyFont="1" applyFill="1" applyBorder="1" applyAlignment="1">
      <alignment horizontal="center" vertical="center"/>
    </xf>
    <xf numFmtId="0" fontId="14" fillId="4" borderId="5" xfId="0" applyFont="1" applyFill="1" applyBorder="1"/>
    <xf numFmtId="0" fontId="0" fillId="2" borderId="7" xfId="0" applyFill="1" applyBorder="1" applyAlignment="1">
      <alignment vertical="center" wrapText="1"/>
    </xf>
    <xf numFmtId="0" fontId="0" fillId="2" borderId="8" xfId="0" applyFill="1" applyBorder="1" applyAlignment="1">
      <alignment vertical="center" wrapText="1"/>
    </xf>
    <xf numFmtId="0" fontId="0" fillId="2" borderId="9" xfId="0" applyFill="1" applyBorder="1" applyAlignment="1">
      <alignment vertical="center" wrapText="1"/>
    </xf>
    <xf numFmtId="0" fontId="123" fillId="2" borderId="7" xfId="0" applyFont="1" applyFill="1" applyBorder="1" applyAlignment="1">
      <alignment horizontal="center" vertical="center"/>
    </xf>
    <xf numFmtId="0" fontId="123" fillId="2" borderId="8" xfId="0" applyFont="1" applyFill="1" applyBorder="1" applyAlignment="1">
      <alignment horizontal="center" vertical="center"/>
    </xf>
    <xf numFmtId="0" fontId="123" fillId="2" borderId="9" xfId="0" applyFont="1" applyFill="1" applyBorder="1" applyAlignment="1">
      <alignment horizontal="center" vertical="center"/>
    </xf>
    <xf numFmtId="0" fontId="135" fillId="86" borderId="113" xfId="0" applyFont="1" applyFill="1" applyBorder="1" applyAlignment="1" applyProtection="1">
      <alignment vertical="center" wrapText="1"/>
      <protection locked="0"/>
    </xf>
    <xf numFmtId="0" fontId="132" fillId="0" borderId="74" xfId="0" applyFont="1" applyBorder="1" applyProtection="1">
      <protection locked="0"/>
    </xf>
    <xf numFmtId="0" fontId="132" fillId="0" borderId="114" xfId="0" applyFont="1" applyBorder="1" applyProtection="1">
      <protection locked="0"/>
    </xf>
    <xf numFmtId="0" fontId="135" fillId="85" borderId="113" xfId="0" applyFont="1" applyFill="1" applyBorder="1" applyAlignment="1" applyProtection="1">
      <alignment vertical="center" wrapText="1"/>
      <protection locked="0"/>
    </xf>
    <xf numFmtId="0" fontId="135" fillId="85" borderId="74" xfId="0" applyFont="1" applyFill="1" applyBorder="1" applyAlignment="1" applyProtection="1">
      <alignment vertical="center" wrapText="1"/>
      <protection locked="0"/>
    </xf>
    <xf numFmtId="0" fontId="135" fillId="85" borderId="114" xfId="0" applyFont="1" applyFill="1" applyBorder="1" applyAlignment="1" applyProtection="1">
      <alignment vertical="center" wrapText="1"/>
      <protection locked="0"/>
    </xf>
    <xf numFmtId="0" fontId="135" fillId="86" borderId="74" xfId="0" applyFont="1" applyFill="1" applyBorder="1" applyAlignment="1" applyProtection="1">
      <alignment vertical="center" wrapText="1"/>
      <protection locked="0"/>
    </xf>
    <xf numFmtId="0" fontId="135" fillId="86" borderId="114" xfId="0" applyFont="1" applyFill="1" applyBorder="1" applyAlignment="1" applyProtection="1">
      <alignment vertical="center" wrapText="1"/>
      <protection locked="0"/>
    </xf>
    <xf numFmtId="0" fontId="14" fillId="82" borderId="7" xfId="0" applyFont="1" applyFill="1" applyBorder="1"/>
    <xf numFmtId="0" fontId="14" fillId="82" borderId="8" xfId="0" applyFont="1" applyFill="1" applyBorder="1"/>
    <xf numFmtId="0" fontId="14" fillId="82" borderId="9" xfId="0" applyFont="1" applyFill="1" applyBorder="1"/>
    <xf numFmtId="0" fontId="127" fillId="83" borderId="107" xfId="0" applyFont="1" applyFill="1" applyBorder="1" applyAlignment="1">
      <alignment horizontal="center" vertical="center" wrapText="1"/>
    </xf>
    <xf numFmtId="0" fontId="132" fillId="18" borderId="75" xfId="0" applyFont="1" applyFill="1" applyBorder="1"/>
    <xf numFmtId="0" fontId="132" fillId="18" borderId="108" xfId="0" applyFont="1" applyFill="1" applyBorder="1"/>
    <xf numFmtId="0" fontId="135" fillId="85" borderId="111" xfId="0" applyFont="1" applyFill="1" applyBorder="1" applyAlignment="1" applyProtection="1">
      <alignment vertical="center" wrapText="1"/>
      <protection locked="0"/>
    </xf>
    <xf numFmtId="0" fontId="132" fillId="0" borderId="76" xfId="0" applyFont="1" applyBorder="1" applyProtection="1">
      <protection locked="0"/>
    </xf>
    <xf numFmtId="0" fontId="132" fillId="0" borderId="112" xfId="0" applyFont="1" applyBorder="1" applyProtection="1">
      <protection locked="0"/>
    </xf>
    <xf numFmtId="0" fontId="135" fillId="86" borderId="10" xfId="0" applyFont="1" applyFill="1" applyBorder="1" applyAlignment="1" applyProtection="1">
      <alignment vertical="center" wrapText="1"/>
      <protection locked="0"/>
    </xf>
    <xf numFmtId="0" fontId="132" fillId="0" borderId="10" xfId="0" applyFont="1" applyBorder="1" applyProtection="1">
      <protection locked="0"/>
    </xf>
    <xf numFmtId="0" fontId="135" fillId="85" borderId="107" xfId="0" applyFont="1" applyFill="1" applyBorder="1" applyAlignment="1" applyProtection="1">
      <alignment vertical="center" wrapText="1"/>
      <protection locked="0"/>
    </xf>
    <xf numFmtId="0" fontId="132" fillId="0" borderId="75" xfId="0" applyFont="1" applyBorder="1" applyProtection="1">
      <protection locked="0"/>
    </xf>
    <xf numFmtId="0" fontId="132" fillId="0" borderId="108" xfId="0" applyFont="1" applyBorder="1" applyProtection="1">
      <protection locked="0"/>
    </xf>
    <xf numFmtId="0" fontId="137" fillId="77" borderId="87" xfId="0" applyFont="1" applyFill="1" applyBorder="1" applyAlignment="1">
      <alignment horizontal="left" vertical="center"/>
    </xf>
    <xf numFmtId="0" fontId="137" fillId="77" borderId="74" xfId="0" applyFont="1" applyFill="1" applyBorder="1" applyAlignment="1">
      <alignment horizontal="left" vertical="center"/>
    </xf>
    <xf numFmtId="0" fontId="126" fillId="77" borderId="82" xfId="0" applyFont="1" applyFill="1" applyBorder="1" applyAlignment="1">
      <alignment horizontal="center" vertical="center"/>
    </xf>
    <xf numFmtId="0" fontId="126" fillId="77" borderId="0" xfId="0" applyFont="1" applyFill="1" applyAlignment="1">
      <alignment horizontal="center" vertical="center"/>
    </xf>
    <xf numFmtId="0" fontId="126" fillId="77" borderId="98" xfId="0" applyFont="1" applyFill="1" applyBorder="1" applyAlignment="1">
      <alignment horizontal="center" vertical="center"/>
    </xf>
    <xf numFmtId="0" fontId="130" fillId="81" borderId="85" xfId="249" applyFont="1" applyFill="1" applyBorder="1" applyAlignment="1" applyProtection="1">
      <alignment horizontal="center" vertical="center" wrapText="1"/>
    </xf>
    <xf numFmtId="0" fontId="130" fillId="81" borderId="92" xfId="249" applyFont="1" applyFill="1" applyBorder="1" applyAlignment="1" applyProtection="1">
      <alignment horizontal="center" vertical="center" wrapText="1"/>
    </xf>
    <xf numFmtId="0" fontId="126" fillId="77" borderId="88" xfId="0" applyFont="1" applyFill="1" applyBorder="1" applyAlignment="1">
      <alignment horizontal="left" vertical="center"/>
    </xf>
    <xf numFmtId="0" fontId="126" fillId="77" borderId="76" xfId="0" applyFont="1" applyFill="1" applyBorder="1" applyAlignment="1">
      <alignment horizontal="left" vertical="center"/>
    </xf>
    <xf numFmtId="0" fontId="126" fillId="77" borderId="86" xfId="0" applyFont="1" applyFill="1" applyBorder="1" applyAlignment="1">
      <alignment horizontal="left" vertical="center"/>
    </xf>
    <xf numFmtId="0" fontId="126" fillId="77" borderId="75" xfId="0" applyFont="1" applyFill="1" applyBorder="1" applyAlignment="1">
      <alignment horizontal="left" vertical="center"/>
    </xf>
    <xf numFmtId="0" fontId="129" fillId="81" borderId="84" xfId="0" applyFont="1" applyFill="1" applyBorder="1" applyAlignment="1">
      <alignment horizontal="center" vertical="center" wrapText="1"/>
    </xf>
    <xf numFmtId="0" fontId="129" fillId="81" borderId="85" xfId="0" applyFont="1" applyFill="1" applyBorder="1" applyAlignment="1">
      <alignment horizontal="center" vertical="center" wrapText="1"/>
    </xf>
    <xf numFmtId="0" fontId="137" fillId="77" borderId="7" xfId="0" applyFont="1" applyFill="1" applyBorder="1" applyAlignment="1">
      <alignment horizontal="left" vertical="center"/>
    </xf>
    <xf numFmtId="0" fontId="137" fillId="77" borderId="9" xfId="0" applyFont="1" applyFill="1" applyBorder="1" applyAlignment="1">
      <alignment horizontal="left" vertical="center"/>
    </xf>
    <xf numFmtId="14" fontId="10" fillId="74" borderId="7" xfId="246" applyNumberFormat="1" applyFont="1" applyBorder="1" applyAlignment="1" applyProtection="1">
      <alignment horizontal="left" vertical="center" wrapText="1"/>
    </xf>
    <xf numFmtId="14" fontId="10" fillId="74" borderId="8" xfId="246" applyNumberFormat="1" applyFont="1" applyBorder="1" applyAlignment="1" applyProtection="1">
      <alignment horizontal="left" vertical="center" wrapText="1"/>
    </xf>
    <xf numFmtId="14" fontId="10" fillId="74" borderId="32" xfId="246" applyNumberFormat="1" applyFont="1" applyBorder="1" applyAlignment="1" applyProtection="1">
      <alignment horizontal="left" vertical="center" wrapText="1"/>
    </xf>
    <xf numFmtId="49" fontId="10" fillId="74" borderId="7" xfId="246" applyNumberFormat="1" applyFont="1" applyBorder="1" applyAlignment="1" applyProtection="1">
      <alignment horizontal="left" vertical="center" wrapText="1"/>
    </xf>
    <xf numFmtId="49" fontId="10" fillId="74" borderId="8" xfId="246" applyNumberFormat="1" applyFont="1" applyBorder="1" applyAlignment="1" applyProtection="1">
      <alignment horizontal="left" vertical="center" wrapText="1"/>
    </xf>
    <xf numFmtId="49" fontId="10" fillId="74" borderId="32" xfId="246" applyNumberFormat="1" applyFont="1" applyBorder="1" applyAlignment="1" applyProtection="1">
      <alignment horizontal="left" vertical="center" wrapText="1"/>
    </xf>
    <xf numFmtId="0" fontId="10" fillId="74" borderId="1" xfId="246" applyNumberFormat="1" applyFont="1" applyBorder="1" applyAlignment="1" applyProtection="1">
      <alignment horizontal="left" vertical="center" wrapText="1"/>
    </xf>
    <xf numFmtId="0" fontId="10" fillId="74" borderId="2" xfId="246" applyNumberFormat="1" applyFont="1" applyBorder="1" applyAlignment="1" applyProtection="1">
      <alignment horizontal="left" vertical="center" wrapText="1"/>
    </xf>
    <xf numFmtId="0" fontId="10" fillId="74" borderId="103" xfId="246" applyNumberFormat="1" applyFont="1" applyBorder="1" applyAlignment="1" applyProtection="1">
      <alignment horizontal="left" vertical="center" wrapText="1"/>
    </xf>
    <xf numFmtId="0" fontId="137" fillId="77" borderId="76" xfId="0" applyFont="1" applyFill="1" applyBorder="1" applyAlignment="1">
      <alignment horizontal="left" vertical="center"/>
    </xf>
    <xf numFmtId="0" fontId="137" fillId="77" borderId="1" xfId="0" applyFont="1" applyFill="1" applyBorder="1" applyAlignment="1">
      <alignment horizontal="left" vertical="center"/>
    </xf>
    <xf numFmtId="0" fontId="137" fillId="77" borderId="3" xfId="0" applyFont="1" applyFill="1" applyBorder="1" applyAlignment="1">
      <alignment horizontal="left" vertical="center"/>
    </xf>
    <xf numFmtId="0" fontId="137" fillId="78" borderId="1" xfId="0" applyFont="1" applyFill="1" applyBorder="1" applyAlignment="1">
      <alignment horizontal="left" vertical="center" wrapText="1"/>
    </xf>
    <xf numFmtId="0" fontId="137" fillId="78" borderId="3" xfId="0" applyFont="1" applyFill="1" applyBorder="1" applyAlignment="1">
      <alignment horizontal="left" vertical="center" wrapText="1"/>
    </xf>
    <xf numFmtId="0" fontId="137" fillId="78" borderId="4" xfId="0" applyFont="1" applyFill="1" applyBorder="1" applyAlignment="1">
      <alignment horizontal="left" vertical="center" wrapText="1"/>
    </xf>
    <xf numFmtId="0" fontId="137" fillId="78" borderId="6" xfId="0" applyFont="1" applyFill="1" applyBorder="1" applyAlignment="1">
      <alignment horizontal="left" vertical="center" wrapText="1"/>
    </xf>
    <xf numFmtId="0" fontId="1" fillId="76" borderId="100" xfId="248" applyFont="1" applyBorder="1" applyAlignment="1" applyProtection="1">
      <alignment horizontal="center" vertical="center"/>
    </xf>
    <xf numFmtId="0" fontId="1" fillId="76" borderId="96" xfId="248" applyFont="1" applyBorder="1" applyAlignment="1" applyProtection="1">
      <alignment horizontal="center" vertical="center"/>
    </xf>
    <xf numFmtId="0" fontId="1" fillId="76" borderId="101" xfId="248" applyFont="1" applyBorder="1" applyAlignment="1" applyProtection="1">
      <alignment horizontal="center" vertical="center" wrapText="1"/>
    </xf>
    <xf numFmtId="0" fontId="1" fillId="76" borderId="90" xfId="248" applyFont="1" applyBorder="1" applyAlignment="1" applyProtection="1">
      <alignment horizontal="center" vertical="center" wrapText="1"/>
    </xf>
    <xf numFmtId="0" fontId="1" fillId="0" borderId="78" xfId="0" applyFont="1" applyBorder="1" applyAlignment="1">
      <alignment horizontal="left" vertical="center" wrapText="1"/>
    </xf>
    <xf numFmtId="0" fontId="1" fillId="0" borderId="79" xfId="0" applyFont="1" applyBorder="1" applyAlignment="1">
      <alignment horizontal="left" vertical="center" wrapText="1"/>
    </xf>
    <xf numFmtId="0" fontId="1" fillId="0" borderId="94" xfId="0" applyFont="1" applyBorder="1" applyAlignment="1">
      <alignment horizontal="left" vertical="center" wrapText="1"/>
    </xf>
    <xf numFmtId="14" fontId="1" fillId="0" borderId="89" xfId="247" applyNumberFormat="1" applyFont="1" applyFill="1" applyBorder="1" applyAlignment="1" applyProtection="1">
      <alignment horizontal="left" vertical="center" wrapText="1"/>
    </xf>
    <xf numFmtId="14" fontId="1" fillId="0" borderId="8" xfId="247" applyNumberFormat="1" applyFont="1" applyFill="1" applyBorder="1" applyAlignment="1" applyProtection="1">
      <alignment horizontal="left" vertical="center" wrapText="1"/>
    </xf>
    <xf numFmtId="14" fontId="1" fillId="0" borderId="9" xfId="247" applyNumberFormat="1" applyFont="1" applyFill="1" applyBorder="1" applyAlignment="1" applyProtection="1">
      <alignment horizontal="left" vertical="center" wrapText="1"/>
    </xf>
    <xf numFmtId="0" fontId="78" fillId="24" borderId="84" xfId="248" applyFont="1" applyFill="1" applyBorder="1" applyAlignment="1" applyProtection="1">
      <alignment horizontal="center" vertical="center"/>
    </xf>
    <xf numFmtId="0" fontId="78" fillId="24" borderId="85" xfId="248" applyFont="1" applyFill="1" applyBorder="1" applyAlignment="1" applyProtection="1">
      <alignment horizontal="center" vertical="center"/>
    </xf>
    <xf numFmtId="0" fontId="78" fillId="24" borderId="84" xfId="248" applyFont="1" applyFill="1" applyBorder="1" applyAlignment="1" applyProtection="1">
      <alignment horizontal="center" vertical="center" wrapText="1"/>
    </xf>
    <xf numFmtId="0" fontId="78" fillId="24" borderId="85" xfId="248" applyFont="1" applyFill="1" applyBorder="1" applyAlignment="1" applyProtection="1">
      <alignment horizontal="center" vertical="center" wrapText="1"/>
    </xf>
    <xf numFmtId="0" fontId="78" fillId="24" borderId="93" xfId="248" applyFont="1" applyFill="1" applyBorder="1" applyAlignment="1" applyProtection="1">
      <alignment horizontal="center" vertical="center" wrapText="1"/>
    </xf>
    <xf numFmtId="0" fontId="78" fillId="24" borderId="92" xfId="248" applyFont="1" applyFill="1" applyBorder="1" applyAlignment="1" applyProtection="1">
      <alignment horizontal="center" vertical="center" wrapText="1"/>
    </xf>
    <xf numFmtId="0" fontId="1" fillId="0" borderId="89" xfId="0" applyFont="1" applyBorder="1" applyAlignment="1">
      <alignment horizontal="left"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37" fillId="78" borderId="7" xfId="0" applyFont="1" applyFill="1" applyBorder="1" applyAlignment="1">
      <alignment horizontal="left" vertical="center" wrapText="1"/>
    </xf>
    <xf numFmtId="0" fontId="137" fillId="78" borderId="9" xfId="0" applyFont="1" applyFill="1" applyBorder="1" applyAlignment="1">
      <alignment horizontal="left" vertical="center" wrapText="1"/>
    </xf>
    <xf numFmtId="0" fontId="78" fillId="24" borderId="92" xfId="248" applyFont="1" applyFill="1" applyBorder="1" applyAlignment="1" applyProtection="1">
      <alignment horizontal="center" vertical="center"/>
    </xf>
    <xf numFmtId="0" fontId="129" fillId="79" borderId="82" xfId="0" applyFont="1" applyFill="1" applyBorder="1" applyAlignment="1">
      <alignment horizontal="left" vertical="center"/>
    </xf>
    <xf numFmtId="0" fontId="129" fillId="79" borderId="0" xfId="0" applyFont="1" applyFill="1" applyAlignment="1">
      <alignment horizontal="left" vertical="center"/>
    </xf>
    <xf numFmtId="0" fontId="129" fillId="79" borderId="98" xfId="0" applyFont="1" applyFill="1" applyBorder="1" applyAlignment="1">
      <alignment horizontal="left" vertical="center"/>
    </xf>
    <xf numFmtId="0" fontId="126" fillId="77" borderId="81" xfId="0" applyFont="1" applyFill="1" applyBorder="1" applyAlignment="1">
      <alignment horizontal="center" vertical="center"/>
    </xf>
    <xf numFmtId="0" fontId="126" fillId="77" borderId="80" xfId="0" applyFont="1" applyFill="1" applyBorder="1" applyAlignment="1">
      <alignment horizontal="center" vertical="center"/>
    </xf>
    <xf numFmtId="0" fontId="126" fillId="77" borderId="97" xfId="0" applyFont="1" applyFill="1" applyBorder="1" applyAlignment="1">
      <alignment horizontal="center" vertical="center"/>
    </xf>
    <xf numFmtId="0" fontId="129" fillId="79" borderId="83" xfId="0" applyFont="1" applyFill="1" applyBorder="1" applyAlignment="1">
      <alignment horizontal="left" vertical="center"/>
    </xf>
    <xf numFmtId="0" fontId="129" fillId="79" borderId="77" xfId="0" applyFont="1" applyFill="1" applyBorder="1" applyAlignment="1">
      <alignment horizontal="left" vertical="center"/>
    </xf>
    <xf numFmtId="0" fontId="129" fillId="79" borderId="99" xfId="0" applyFont="1" applyFill="1" applyBorder="1" applyAlignment="1">
      <alignment horizontal="left" vertical="center"/>
    </xf>
    <xf numFmtId="0" fontId="129" fillId="79" borderId="84" xfId="0" applyFont="1" applyFill="1" applyBorder="1" applyAlignment="1">
      <alignment horizontal="left" vertical="center"/>
    </xf>
    <xf numFmtId="0" fontId="129" fillId="79" borderId="85" xfId="0" applyFont="1" applyFill="1" applyBorder="1" applyAlignment="1">
      <alignment horizontal="left" vertical="center"/>
    </xf>
    <xf numFmtId="0" fontId="129" fillId="79" borderId="92" xfId="0" applyFont="1" applyFill="1" applyBorder="1" applyAlignment="1">
      <alignment horizontal="left" vertical="center"/>
    </xf>
    <xf numFmtId="0" fontId="8" fillId="9" borderId="1" xfId="0" applyFont="1" applyFill="1" applyBorder="1" applyAlignment="1">
      <alignment horizontal="center" vertical="center"/>
    </xf>
    <xf numFmtId="0" fontId="8" fillId="9" borderId="2" xfId="0" applyFont="1" applyFill="1" applyBorder="1" applyAlignment="1">
      <alignment horizontal="center" vertical="center"/>
    </xf>
    <xf numFmtId="0" fontId="6" fillId="10" borderId="0" xfId="0" applyFont="1" applyFill="1" applyAlignment="1">
      <alignment horizontal="left" vertical="center"/>
    </xf>
    <xf numFmtId="0" fontId="6" fillId="63" borderId="0" xfId="0" applyFont="1" applyFill="1" applyAlignment="1">
      <alignment horizontal="center" vertical="center"/>
    </xf>
    <xf numFmtId="0" fontId="6" fillId="63" borderId="14" xfId="0" applyFont="1" applyFill="1" applyBorder="1" applyAlignment="1">
      <alignment horizontal="center" vertical="center"/>
    </xf>
    <xf numFmtId="0" fontId="8" fillId="14" borderId="1" xfId="0" applyFont="1" applyFill="1" applyBorder="1" applyAlignment="1">
      <alignment horizontal="center" vertical="center"/>
    </xf>
    <xf numFmtId="0" fontId="8" fillId="14" borderId="2" xfId="0" applyFont="1" applyFill="1" applyBorder="1" applyAlignment="1">
      <alignment horizontal="center" vertical="center"/>
    </xf>
    <xf numFmtId="0" fontId="8" fillId="14" borderId="3" xfId="0" applyFont="1" applyFill="1" applyBorder="1" applyAlignment="1">
      <alignment horizontal="center" vertical="center"/>
    </xf>
    <xf numFmtId="0" fontId="8" fillId="14" borderId="12" xfId="0" applyFont="1" applyFill="1" applyBorder="1" applyAlignment="1">
      <alignment horizontal="center" vertical="center"/>
    </xf>
    <xf numFmtId="0" fontId="8" fillId="14" borderId="0" xfId="0" applyFont="1" applyFill="1" applyAlignment="1">
      <alignment horizontal="center" vertical="center"/>
    </xf>
    <xf numFmtId="0" fontId="8" fillId="14" borderId="14" xfId="0" applyFont="1" applyFill="1" applyBorder="1" applyAlignment="1">
      <alignment horizontal="center" vertical="center"/>
    </xf>
    <xf numFmtId="0" fontId="7" fillId="14" borderId="4" xfId="0" applyFont="1" applyFill="1" applyBorder="1" applyAlignment="1">
      <alignment horizontal="center" vertical="center"/>
    </xf>
    <xf numFmtId="0" fontId="7" fillId="14" borderId="5" xfId="0" applyFont="1" applyFill="1" applyBorder="1" applyAlignment="1">
      <alignment horizontal="center" vertical="center"/>
    </xf>
    <xf numFmtId="0" fontId="7" fillId="14" borderId="6" xfId="0" applyFont="1" applyFill="1" applyBorder="1" applyAlignment="1">
      <alignment horizontal="center" vertical="center"/>
    </xf>
    <xf numFmtId="0" fontId="6" fillId="13" borderId="7" xfId="0" applyFont="1" applyFill="1" applyBorder="1" applyAlignment="1">
      <alignment horizontal="left" vertical="center"/>
    </xf>
    <xf numFmtId="0" fontId="6" fillId="13" borderId="8" xfId="0" applyFont="1" applyFill="1" applyBorder="1" applyAlignment="1">
      <alignment horizontal="left" vertical="center"/>
    </xf>
    <xf numFmtId="0" fontId="0" fillId="14" borderId="7" xfId="0" applyFill="1" applyBorder="1" applyAlignment="1">
      <alignment vertical="center"/>
    </xf>
    <xf numFmtId="0" fontId="0" fillId="14" borderId="8" xfId="0" applyFill="1" applyBorder="1" applyAlignment="1">
      <alignment vertical="center"/>
    </xf>
    <xf numFmtId="0" fontId="0" fillId="14" borderId="9" xfId="0" applyFill="1" applyBorder="1" applyAlignment="1">
      <alignment vertical="center"/>
    </xf>
    <xf numFmtId="0" fontId="1" fillId="14" borderId="10" xfId="0" applyFont="1" applyFill="1" applyBorder="1" applyAlignment="1">
      <alignment horizontal="left" vertical="center"/>
    </xf>
    <xf numFmtId="0" fontId="45" fillId="15" borderId="7" xfId="0" applyFont="1" applyFill="1" applyBorder="1" applyAlignment="1">
      <alignment horizontal="center" vertical="center" wrapText="1"/>
    </xf>
    <xf numFmtId="0" fontId="45" fillId="15" borderId="9" xfId="0" applyFont="1" applyFill="1" applyBorder="1" applyAlignment="1">
      <alignment horizontal="center" vertical="center" wrapText="1"/>
    </xf>
    <xf numFmtId="0" fontId="0" fillId="11" borderId="10" xfId="0" applyFill="1" applyBorder="1" applyAlignment="1" applyProtection="1">
      <alignment wrapText="1"/>
      <protection locked="0"/>
    </xf>
    <xf numFmtId="0" fontId="0" fillId="11" borderId="10" xfId="0" applyFill="1" applyBorder="1" applyAlignment="1" applyProtection="1">
      <alignment vertical="center" wrapText="1"/>
      <protection locked="0"/>
    </xf>
    <xf numFmtId="0" fontId="5" fillId="6" borderId="11" xfId="0" applyFont="1" applyFill="1" applyBorder="1" applyAlignment="1">
      <alignment horizontal="center"/>
    </xf>
    <xf numFmtId="0" fontId="0" fillId="14" borderId="1" xfId="0" applyFill="1" applyBorder="1" applyAlignment="1">
      <alignment vertical="center"/>
    </xf>
    <xf numFmtId="0" fontId="0" fillId="14" borderId="2" xfId="0" applyFill="1" applyBorder="1" applyAlignment="1">
      <alignment vertical="center"/>
    </xf>
    <xf numFmtId="0" fontId="0" fillId="14" borderId="3" xfId="0" applyFill="1" applyBorder="1" applyAlignment="1">
      <alignment vertical="center"/>
    </xf>
    <xf numFmtId="0" fontId="5" fillId="6" borderId="11" xfId="0" applyFont="1" applyFill="1" applyBorder="1" applyAlignment="1">
      <alignment horizontal="center" vertical="center"/>
    </xf>
    <xf numFmtId="0" fontId="1" fillId="14" borderId="1" xfId="0" applyFont="1" applyFill="1" applyBorder="1" applyAlignment="1">
      <alignment vertical="center"/>
    </xf>
    <xf numFmtId="0" fontId="1" fillId="14" borderId="2" xfId="0" applyFont="1" applyFill="1" applyBorder="1" applyAlignment="1">
      <alignment vertical="center"/>
    </xf>
    <xf numFmtId="0" fontId="1" fillId="14" borderId="3" xfId="0" applyFont="1" applyFill="1" applyBorder="1" applyAlignment="1">
      <alignment vertical="center"/>
    </xf>
    <xf numFmtId="0" fontId="1" fillId="14" borderId="4" xfId="0" applyFont="1" applyFill="1" applyBorder="1" applyAlignment="1">
      <alignment vertical="center"/>
    </xf>
    <xf numFmtId="0" fontId="1" fillId="14" borderId="5" xfId="0" applyFont="1" applyFill="1" applyBorder="1" applyAlignment="1">
      <alignment vertical="center"/>
    </xf>
    <xf numFmtId="0" fontId="1" fillId="14" borderId="6" xfId="0" applyFont="1" applyFill="1" applyBorder="1" applyAlignment="1">
      <alignment vertical="center"/>
    </xf>
    <xf numFmtId="0" fontId="0" fillId="11" borderId="1" xfId="0" applyFill="1" applyBorder="1" applyAlignment="1" applyProtection="1">
      <alignment horizontal="left" vertical="center" wrapText="1"/>
      <protection locked="0"/>
    </xf>
    <xf numFmtId="0" fontId="0" fillId="11" borderId="2" xfId="0" applyFill="1" applyBorder="1" applyAlignment="1" applyProtection="1">
      <alignment horizontal="left" vertical="center" wrapText="1"/>
      <protection locked="0"/>
    </xf>
    <xf numFmtId="0" fontId="0" fillId="11" borderId="3" xfId="0" applyFill="1" applyBorder="1" applyAlignment="1" applyProtection="1">
      <alignment horizontal="left" vertical="center" wrapText="1"/>
      <protection locked="0"/>
    </xf>
    <xf numFmtId="0" fontId="0" fillId="11" borderId="4" xfId="0" applyFill="1" applyBorder="1" applyAlignment="1" applyProtection="1">
      <alignment horizontal="left" vertical="center" wrapText="1"/>
      <protection locked="0"/>
    </xf>
    <xf numFmtId="0" fontId="0" fillId="11" borderId="5" xfId="0" applyFill="1" applyBorder="1" applyAlignment="1" applyProtection="1">
      <alignment horizontal="left" vertical="center" wrapText="1"/>
      <protection locked="0"/>
    </xf>
    <xf numFmtId="0" fontId="0" fillId="11" borderId="6" xfId="0" applyFill="1" applyBorder="1" applyAlignment="1" applyProtection="1">
      <alignment horizontal="left" vertical="center" wrapText="1"/>
      <protection locked="0"/>
    </xf>
    <xf numFmtId="0" fontId="0" fillId="14" borderId="10" xfId="0" applyFill="1" applyBorder="1" applyAlignment="1">
      <alignment horizontal="left" vertical="center"/>
    </xf>
    <xf numFmtId="0" fontId="0" fillId="14" borderId="11" xfId="0" applyFill="1" applyBorder="1" applyAlignment="1">
      <alignment horizontal="left" vertical="center"/>
    </xf>
    <xf numFmtId="0" fontId="46" fillId="15" borderId="7" xfId="0" applyFont="1" applyFill="1" applyBorder="1" applyAlignment="1" applyProtection="1">
      <alignment vertical="center" wrapText="1"/>
      <protection locked="0"/>
    </xf>
    <xf numFmtId="0" fontId="46" fillId="15" borderId="9" xfId="0" applyFont="1" applyFill="1" applyBorder="1" applyAlignment="1" applyProtection="1">
      <alignment vertical="center" wrapText="1"/>
      <protection locked="0"/>
    </xf>
    <xf numFmtId="0" fontId="0" fillId="14" borderId="10" xfId="0" applyFill="1" applyBorder="1" applyAlignment="1">
      <alignment vertical="center"/>
    </xf>
    <xf numFmtId="0" fontId="0" fillId="11" borderId="7" xfId="0" applyFill="1" applyBorder="1" applyAlignment="1" applyProtection="1">
      <alignment vertical="center" wrapText="1"/>
      <protection locked="0"/>
    </xf>
    <xf numFmtId="0" fontId="0" fillId="11" borderId="8" xfId="0" applyFill="1" applyBorder="1" applyAlignment="1" applyProtection="1">
      <alignment vertical="center" wrapText="1"/>
      <protection locked="0"/>
    </xf>
    <xf numFmtId="0" fontId="0" fillId="11" borderId="9" xfId="0" applyFill="1" applyBorder="1" applyAlignment="1" applyProtection="1">
      <alignment vertical="center" wrapText="1"/>
      <protection locked="0"/>
    </xf>
    <xf numFmtId="0" fontId="1" fillId="14" borderId="7" xfId="0" applyFont="1" applyFill="1" applyBorder="1" applyAlignment="1">
      <alignment horizontal="left" vertical="center"/>
    </xf>
    <xf numFmtId="0" fontId="1" fillId="14" borderId="8" xfId="0" applyFont="1" applyFill="1" applyBorder="1" applyAlignment="1">
      <alignment horizontal="left" vertical="center"/>
    </xf>
    <xf numFmtId="0" fontId="0" fillId="11" borderId="8" xfId="0" applyFill="1" applyBorder="1" applyAlignment="1" applyProtection="1">
      <alignment horizontal="left" vertical="center" wrapText="1"/>
      <protection locked="0"/>
    </xf>
    <xf numFmtId="0" fontId="1" fillId="14" borderId="10" xfId="0" applyFont="1" applyFill="1" applyBorder="1" applyAlignment="1">
      <alignment vertical="center"/>
    </xf>
    <xf numFmtId="0" fontId="0" fillId="14" borderId="7" xfId="0" applyFill="1" applyBorder="1" applyAlignment="1">
      <alignment horizontal="left" vertical="center"/>
    </xf>
    <xf numFmtId="0" fontId="0" fillId="14" borderId="8" xfId="0" applyFill="1" applyBorder="1" applyAlignment="1">
      <alignment horizontal="left" vertical="center"/>
    </xf>
    <xf numFmtId="0" fontId="0" fillId="11" borderId="7" xfId="0" applyFill="1" applyBorder="1" applyAlignment="1" applyProtection="1">
      <alignment wrapText="1"/>
      <protection locked="0"/>
    </xf>
    <xf numFmtId="0" fontId="0" fillId="11" borderId="8" xfId="0" applyFill="1" applyBorder="1" applyAlignment="1" applyProtection="1">
      <alignment wrapText="1"/>
      <protection locked="0"/>
    </xf>
    <xf numFmtId="0" fontId="0" fillId="11" borderId="9" xfId="0" applyFill="1" applyBorder="1" applyAlignment="1" applyProtection="1">
      <alignment wrapText="1"/>
      <protection locked="0"/>
    </xf>
    <xf numFmtId="0" fontId="6" fillId="27" borderId="10" xfId="0" applyFont="1" applyFill="1" applyBorder="1" applyAlignment="1">
      <alignment horizontal="left" vertical="center"/>
    </xf>
    <xf numFmtId="0" fontId="6" fillId="13" borderId="10" xfId="0" applyFont="1" applyFill="1" applyBorder="1" applyAlignment="1">
      <alignment horizontal="left" vertical="center"/>
    </xf>
    <xf numFmtId="0" fontId="6" fillId="27" borderId="10" xfId="0" applyFont="1" applyFill="1" applyBorder="1" applyAlignment="1">
      <alignment horizontal="center" vertical="center"/>
    </xf>
    <xf numFmtId="0" fontId="6" fillId="13" borderId="10" xfId="0" applyFont="1" applyFill="1" applyBorder="1" applyAlignment="1">
      <alignment horizontal="center" vertical="center"/>
    </xf>
    <xf numFmtId="0" fontId="5" fillId="6" borderId="10" xfId="0" applyFont="1" applyFill="1" applyBorder="1" applyAlignment="1">
      <alignment horizontal="center"/>
    </xf>
    <xf numFmtId="0" fontId="0" fillId="11" borderId="7" xfId="0" applyFill="1" applyBorder="1" applyAlignment="1" applyProtection="1">
      <alignment horizontal="left" vertical="center"/>
      <protection locked="0"/>
    </xf>
    <xf numFmtId="0" fontId="0" fillId="11" borderId="8" xfId="0" applyFill="1" applyBorder="1" applyAlignment="1" applyProtection="1">
      <alignment horizontal="left" vertical="center"/>
      <protection locked="0"/>
    </xf>
    <xf numFmtId="0" fontId="1" fillId="14" borderId="1" xfId="0" applyFont="1" applyFill="1" applyBorder="1" applyAlignment="1">
      <alignment horizontal="left" vertical="center"/>
    </xf>
    <xf numFmtId="0" fontId="1" fillId="14" borderId="2" xfId="0" applyFont="1" applyFill="1" applyBorder="1" applyAlignment="1">
      <alignment horizontal="left" vertical="center"/>
    </xf>
    <xf numFmtId="0" fontId="0" fillId="14" borderId="4" xfId="0" applyFill="1" applyBorder="1" applyAlignment="1">
      <alignment horizontal="left" vertical="center"/>
    </xf>
    <xf numFmtId="0" fontId="0" fillId="14" borderId="5" xfId="0" applyFill="1" applyBorder="1" applyAlignment="1">
      <alignment horizontal="left" vertical="center"/>
    </xf>
    <xf numFmtId="0" fontId="7" fillId="14" borderId="12" xfId="0" applyFont="1" applyFill="1" applyBorder="1" applyAlignment="1">
      <alignment horizontal="center" vertical="center"/>
    </xf>
    <xf numFmtId="0" fontId="7" fillId="14" borderId="0" xfId="0" applyFont="1" applyFill="1" applyAlignment="1">
      <alignment horizontal="center" vertical="center"/>
    </xf>
    <xf numFmtId="0" fontId="6" fillId="13" borderId="0" xfId="0" applyFont="1" applyFill="1" applyAlignment="1">
      <alignment horizontal="left" vertical="center"/>
    </xf>
    <xf numFmtId="0" fontId="0" fillId="65" borderId="1" xfId="0" applyFill="1" applyBorder="1" applyAlignment="1">
      <alignment vertical="center" wrapText="1"/>
    </xf>
    <xf numFmtId="0" fontId="0" fillId="65" borderId="2" xfId="0" applyFill="1" applyBorder="1" applyAlignment="1">
      <alignment vertical="center" wrapText="1"/>
    </xf>
    <xf numFmtId="0" fontId="0" fillId="65" borderId="3" xfId="0" applyFill="1" applyBorder="1" applyAlignment="1">
      <alignment vertical="center" wrapText="1"/>
    </xf>
    <xf numFmtId="0" fontId="0" fillId="65" borderId="4" xfId="0" applyFill="1" applyBorder="1" applyAlignment="1">
      <alignment vertical="center" wrapText="1"/>
    </xf>
    <xf numFmtId="0" fontId="0" fillId="65" borderId="5" xfId="0" applyFill="1" applyBorder="1" applyAlignment="1">
      <alignment vertical="center" wrapText="1"/>
    </xf>
    <xf numFmtId="0" fontId="0" fillId="65" borderId="6" xfId="0" applyFill="1" applyBorder="1" applyAlignment="1">
      <alignment vertical="center" wrapText="1"/>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8" borderId="4" xfId="0" applyFill="1" applyBorder="1" applyAlignment="1">
      <alignment horizontal="center" vertical="center"/>
    </xf>
    <xf numFmtId="0" fontId="0" fillId="8" borderId="5" xfId="0" applyFill="1" applyBorder="1" applyAlignment="1">
      <alignment horizontal="center" vertical="center"/>
    </xf>
    <xf numFmtId="0" fontId="0" fillId="8" borderId="6" xfId="0" applyFill="1" applyBorder="1" applyAlignment="1">
      <alignment horizontal="center" vertical="center"/>
    </xf>
    <xf numFmtId="0" fontId="112" fillId="8" borderId="1" xfId="0" applyFont="1" applyFill="1" applyBorder="1" applyAlignment="1">
      <alignment vertical="center" wrapText="1"/>
    </xf>
    <xf numFmtId="0" fontId="112" fillId="8" borderId="2" xfId="0" applyFont="1" applyFill="1" applyBorder="1" applyAlignment="1">
      <alignment vertical="center" wrapText="1"/>
    </xf>
    <xf numFmtId="0" fontId="112" fillId="8" borderId="3" xfId="0" applyFont="1" applyFill="1" applyBorder="1" applyAlignment="1">
      <alignment vertical="center" wrapText="1"/>
    </xf>
    <xf numFmtId="0" fontId="112" fillId="8" borderId="4" xfId="0" applyFont="1" applyFill="1" applyBorder="1" applyAlignment="1">
      <alignment vertical="center" wrapText="1"/>
    </xf>
    <xf numFmtId="0" fontId="112" fillId="8" borderId="5" xfId="0" applyFont="1" applyFill="1" applyBorder="1" applyAlignment="1">
      <alignment vertical="center" wrapText="1"/>
    </xf>
    <xf numFmtId="0" fontId="112" fillId="8" borderId="6" xfId="0" applyFont="1" applyFill="1" applyBorder="1" applyAlignment="1">
      <alignment vertical="center" wrapText="1"/>
    </xf>
    <xf numFmtId="0" fontId="18" fillId="66" borderId="1" xfId="0" applyFont="1" applyFill="1" applyBorder="1" applyAlignment="1">
      <alignment vertical="center" wrapText="1"/>
    </xf>
    <xf numFmtId="0" fontId="18" fillId="66" borderId="2" xfId="0" applyFont="1" applyFill="1" applyBorder="1" applyAlignment="1">
      <alignment vertical="center" wrapText="1"/>
    </xf>
    <xf numFmtId="0" fontId="18" fillId="66" borderId="3" xfId="0" applyFont="1" applyFill="1" applyBorder="1" applyAlignment="1">
      <alignment vertical="center" wrapText="1"/>
    </xf>
    <xf numFmtId="0" fontId="18" fillId="66" borderId="4" xfId="0" applyFont="1" applyFill="1" applyBorder="1" applyAlignment="1">
      <alignment vertical="center" wrapText="1"/>
    </xf>
    <xf numFmtId="0" fontId="18" fillId="66" borderId="5" xfId="0" applyFont="1" applyFill="1" applyBorder="1" applyAlignment="1">
      <alignment vertical="center" wrapText="1"/>
    </xf>
    <xf numFmtId="0" fontId="18" fillId="66" borderId="6" xfId="0" applyFont="1" applyFill="1" applyBorder="1" applyAlignment="1">
      <alignment vertical="center" wrapText="1"/>
    </xf>
    <xf numFmtId="0" fontId="0" fillId="8" borderId="1" xfId="0" applyFill="1" applyBorder="1" applyAlignment="1">
      <alignment vertical="center" wrapText="1"/>
    </xf>
    <xf numFmtId="0" fontId="0" fillId="8" borderId="2" xfId="0" applyFill="1" applyBorder="1" applyAlignment="1">
      <alignment vertical="center" wrapText="1"/>
    </xf>
    <xf numFmtId="0" fontId="0" fillId="8" borderId="3" xfId="0" applyFill="1" applyBorder="1" applyAlignment="1">
      <alignment vertical="center" wrapText="1"/>
    </xf>
    <xf numFmtId="0" fontId="0" fillId="8" borderId="4" xfId="0" applyFill="1" applyBorder="1" applyAlignment="1">
      <alignment vertical="center" wrapText="1"/>
    </xf>
    <xf numFmtId="0" fontId="0" fillId="8" borderId="5" xfId="0" applyFill="1" applyBorder="1" applyAlignment="1">
      <alignment vertical="center" wrapText="1"/>
    </xf>
    <xf numFmtId="0" fontId="0" fillId="8" borderId="6" xfId="0" applyFill="1" applyBorder="1" applyAlignment="1">
      <alignment vertical="center" wrapText="1"/>
    </xf>
    <xf numFmtId="0" fontId="6" fillId="27" borderId="20" xfId="0" applyFont="1" applyFill="1" applyBorder="1" applyAlignment="1">
      <alignment horizontal="center" vertical="center"/>
    </xf>
    <xf numFmtId="0" fontId="6" fillId="27" borderId="8" xfId="0" applyFont="1" applyFill="1" applyBorder="1" applyAlignment="1">
      <alignment horizontal="center" vertical="center"/>
    </xf>
    <xf numFmtId="0" fontId="6" fillId="27" borderId="58" xfId="0" applyFont="1" applyFill="1" applyBorder="1" applyAlignment="1">
      <alignment horizontal="center" vertical="center"/>
    </xf>
    <xf numFmtId="0" fontId="113" fillId="13" borderId="35" xfId="0" applyFont="1" applyFill="1" applyBorder="1" applyAlignment="1">
      <alignment horizontal="center" vertical="center"/>
    </xf>
    <xf numFmtId="0" fontId="113" fillId="13" borderId="10" xfId="0" applyFont="1" applyFill="1" applyBorder="1" applyAlignment="1">
      <alignment horizontal="center" vertical="center"/>
    </xf>
    <xf numFmtId="0" fontId="113" fillId="13" borderId="37" xfId="0" applyFont="1" applyFill="1" applyBorder="1" applyAlignment="1">
      <alignment horizontal="center" vertical="center"/>
    </xf>
    <xf numFmtId="0" fontId="113" fillId="27" borderId="20" xfId="0" applyFont="1" applyFill="1" applyBorder="1" applyAlignment="1">
      <alignment horizontal="left" vertical="center"/>
    </xf>
    <xf numFmtId="0" fontId="113" fillId="27" borderId="8" xfId="0" applyFont="1" applyFill="1" applyBorder="1" applyAlignment="1">
      <alignment horizontal="left" vertical="center"/>
    </xf>
    <xf numFmtId="0" fontId="113" fillId="27" borderId="58" xfId="0" applyFont="1" applyFill="1" applyBorder="1" applyAlignment="1">
      <alignment horizontal="left" vertical="center"/>
    </xf>
    <xf numFmtId="0" fontId="113" fillId="13" borderId="35" xfId="0" applyFont="1" applyFill="1" applyBorder="1" applyAlignment="1">
      <alignment horizontal="left" vertical="center"/>
    </xf>
    <xf numFmtId="0" fontId="113" fillId="13" borderId="10" xfId="0" applyFont="1" applyFill="1" applyBorder="1" applyAlignment="1">
      <alignment horizontal="left" vertical="center"/>
    </xf>
    <xf numFmtId="0" fontId="113" fillId="13" borderId="37" xfId="0" applyFont="1" applyFill="1" applyBorder="1" applyAlignment="1">
      <alignment horizontal="left" vertical="center"/>
    </xf>
    <xf numFmtId="0" fontId="6" fillId="13" borderId="20" xfId="0" applyFont="1" applyFill="1" applyBorder="1" applyAlignment="1">
      <alignment horizontal="left" vertical="center"/>
    </xf>
    <xf numFmtId="0" fontId="6" fillId="13" borderId="58" xfId="0" applyFont="1" applyFill="1" applyBorder="1" applyAlignment="1">
      <alignment horizontal="left" vertical="center"/>
    </xf>
    <xf numFmtId="0" fontId="113" fillId="27" borderId="35" xfId="0" applyFont="1" applyFill="1" applyBorder="1" applyAlignment="1">
      <alignment horizontal="left" vertical="center"/>
    </xf>
    <xf numFmtId="0" fontId="113" fillId="27" borderId="10" xfId="0" applyFont="1" applyFill="1" applyBorder="1" applyAlignment="1">
      <alignment horizontal="left" vertical="center"/>
    </xf>
    <xf numFmtId="0" fontId="113" fillId="27" borderId="37" xfId="0" applyFont="1" applyFill="1" applyBorder="1" applyAlignment="1">
      <alignment horizontal="left" vertical="center"/>
    </xf>
    <xf numFmtId="0" fontId="113" fillId="27" borderId="35" xfId="0" applyFont="1" applyFill="1" applyBorder="1" applyAlignment="1">
      <alignment horizontal="center" vertical="center"/>
    </xf>
    <xf numFmtId="0" fontId="113" fillId="27" borderId="10" xfId="0" applyFont="1" applyFill="1" applyBorder="1" applyAlignment="1">
      <alignment horizontal="center" vertical="center"/>
    </xf>
    <xf numFmtId="0" fontId="113" fillId="27" borderId="37" xfId="0" applyFont="1" applyFill="1" applyBorder="1" applyAlignment="1">
      <alignment horizontal="center" vertical="center"/>
    </xf>
    <xf numFmtId="0" fontId="113" fillId="13" borderId="9" xfId="0" applyFont="1" applyFill="1" applyBorder="1" applyAlignment="1">
      <alignment horizontal="center" vertical="center"/>
    </xf>
    <xf numFmtId="0" fontId="113" fillId="13" borderId="7" xfId="0" applyFont="1" applyFill="1" applyBorder="1" applyAlignment="1">
      <alignment horizontal="center" vertical="center"/>
    </xf>
    <xf numFmtId="0" fontId="113" fillId="13" borderId="9" xfId="0" applyFont="1" applyFill="1" applyBorder="1" applyAlignment="1">
      <alignment horizontal="left" vertical="center"/>
    </xf>
    <xf numFmtId="0" fontId="113" fillId="13" borderId="7" xfId="0" applyFont="1" applyFill="1" applyBorder="1" applyAlignment="1">
      <alignment horizontal="left" vertical="center"/>
    </xf>
    <xf numFmtId="0" fontId="78" fillId="24" borderId="40" xfId="0" applyFont="1" applyFill="1" applyBorder="1" applyAlignment="1">
      <alignment horizontal="center" vertical="center" wrapText="1"/>
    </xf>
    <xf numFmtId="0" fontId="78" fillId="24" borderId="28" xfId="0" applyFont="1" applyFill="1" applyBorder="1" applyAlignment="1">
      <alignment horizontal="center" vertical="center" wrapText="1"/>
    </xf>
    <xf numFmtId="0" fontId="78" fillId="24" borderId="41" xfId="0" applyFont="1" applyFill="1" applyBorder="1" applyAlignment="1">
      <alignment horizontal="center" vertical="center" wrapText="1"/>
    </xf>
    <xf numFmtId="0" fontId="0" fillId="63" borderId="4" xfId="0" applyFill="1" applyBorder="1" applyAlignment="1">
      <alignment horizontal="center" vertical="center"/>
    </xf>
    <xf numFmtId="0" fontId="0" fillId="63" borderId="5" xfId="0" applyFill="1" applyBorder="1" applyAlignment="1">
      <alignment horizontal="center" vertical="center"/>
    </xf>
    <xf numFmtId="0" fontId="0" fillId="63" borderId="46" xfId="0" applyFill="1" applyBorder="1" applyAlignment="1">
      <alignment horizontal="center" vertical="center"/>
    </xf>
    <xf numFmtId="0" fontId="36" fillId="27" borderId="7" xfId="0" applyFont="1" applyFill="1" applyBorder="1" applyAlignment="1">
      <alignment horizontal="center" vertical="center"/>
    </xf>
    <xf numFmtId="0" fontId="36" fillId="27" borderId="8" xfId="0" applyFont="1" applyFill="1" applyBorder="1" applyAlignment="1">
      <alignment horizontal="center" vertical="center"/>
    </xf>
    <xf numFmtId="0" fontId="36" fillId="27" borderId="58" xfId="0" applyFont="1" applyFill="1" applyBorder="1" applyAlignment="1">
      <alignment horizontal="center" vertical="center"/>
    </xf>
    <xf numFmtId="0" fontId="6" fillId="13" borderId="4" xfId="0" applyFont="1" applyFill="1" applyBorder="1" applyAlignment="1">
      <alignment horizontal="left" vertical="center"/>
    </xf>
    <xf numFmtId="0" fontId="6" fillId="13" borderId="5" xfId="0" applyFont="1" applyFill="1" applyBorder="1" applyAlignment="1">
      <alignment horizontal="left" vertical="center"/>
    </xf>
    <xf numFmtId="0" fontId="0" fillId="11" borderId="9" xfId="0" applyFill="1" applyBorder="1" applyAlignment="1" applyProtection="1">
      <alignment horizontal="left" vertical="center" wrapText="1"/>
      <protection locked="0"/>
    </xf>
    <xf numFmtId="0" fontId="0" fillId="11" borderId="7" xfId="0" applyFill="1" applyBorder="1" applyAlignment="1" applyProtection="1">
      <alignment horizontal="left" vertical="center" wrapText="1"/>
      <protection locked="0"/>
    </xf>
    <xf numFmtId="0" fontId="36" fillId="27" borderId="9" xfId="0" applyFont="1" applyFill="1" applyBorder="1" applyAlignment="1">
      <alignment horizontal="center" vertical="center"/>
    </xf>
    <xf numFmtId="0" fontId="13" fillId="6" borderId="10" xfId="0" applyFont="1" applyFill="1" applyBorder="1" applyAlignment="1">
      <alignment horizontal="center"/>
    </xf>
    <xf numFmtId="0" fontId="0" fillId="9" borderId="8" xfId="0" applyFill="1" applyBorder="1" applyAlignment="1">
      <alignment horizontal="center" vertical="center"/>
    </xf>
    <xf numFmtId="0" fontId="0" fillId="11" borderId="10" xfId="0" applyFill="1" applyBorder="1" applyAlignment="1" applyProtection="1">
      <alignment horizontal="left" vertical="center" wrapText="1"/>
      <protection locked="0"/>
    </xf>
    <xf numFmtId="0" fontId="2" fillId="22" borderId="5" xfId="0" applyFont="1" applyFill="1" applyBorder="1" applyAlignment="1">
      <alignment horizontal="center" vertical="center"/>
    </xf>
    <xf numFmtId="0" fontId="2" fillId="14" borderId="5" xfId="0" applyFont="1" applyFill="1" applyBorder="1" applyAlignment="1">
      <alignment horizontal="center" vertical="center"/>
    </xf>
    <xf numFmtId="0" fontId="0" fillId="16" borderId="10" xfId="0" applyFill="1" applyBorder="1" applyAlignment="1">
      <alignment horizontal="left" vertical="top"/>
    </xf>
    <xf numFmtId="0" fontId="0" fillId="16" borderId="10" xfId="0" applyFill="1" applyBorder="1"/>
    <xf numFmtId="0" fontId="20" fillId="14" borderId="7" xfId="0" applyFont="1" applyFill="1" applyBorder="1" applyAlignment="1">
      <alignment horizontal="center" vertical="center" wrapText="1"/>
    </xf>
    <xf numFmtId="0" fontId="20" fillId="14" borderId="8" xfId="0" applyFont="1" applyFill="1" applyBorder="1" applyAlignment="1">
      <alignment horizontal="center" vertical="center" wrapText="1"/>
    </xf>
    <xf numFmtId="0" fontId="20" fillId="14" borderId="9" xfId="0" applyFont="1" applyFill="1" applyBorder="1" applyAlignment="1">
      <alignment horizontal="center" vertical="center" wrapText="1"/>
    </xf>
    <xf numFmtId="0" fontId="13" fillId="42" borderId="10" xfId="0" applyFont="1" applyFill="1" applyBorder="1" applyAlignment="1">
      <alignment horizontal="center" vertical="center"/>
    </xf>
    <xf numFmtId="0" fontId="17" fillId="19" borderId="30" xfId="0" applyFont="1" applyFill="1" applyBorder="1" applyAlignment="1">
      <alignment vertical="center" wrapText="1"/>
    </xf>
    <xf numFmtId="0" fontId="17" fillId="19" borderId="5" xfId="0" applyFont="1" applyFill="1" applyBorder="1" applyAlignment="1">
      <alignment vertical="center" wrapText="1"/>
    </xf>
    <xf numFmtId="0" fontId="17" fillId="19" borderId="0" xfId="0" applyFont="1" applyFill="1" applyAlignment="1">
      <alignment vertical="center" wrapText="1"/>
    </xf>
    <xf numFmtId="0" fontId="18" fillId="16" borderId="10" xfId="0" applyFont="1" applyFill="1" applyBorder="1" applyAlignment="1">
      <alignment vertical="center" wrapText="1"/>
    </xf>
    <xf numFmtId="0" fontId="0" fillId="0" borderId="10" xfId="0" applyBorder="1" applyAlignment="1">
      <alignment vertical="center"/>
    </xf>
    <xf numFmtId="0" fontId="0" fillId="0" borderId="7" xfId="0" applyBorder="1" applyAlignment="1">
      <alignment vertical="center"/>
    </xf>
    <xf numFmtId="0" fontId="0" fillId="16" borderId="10" xfId="0" applyFill="1" applyBorder="1" applyAlignment="1">
      <alignment vertical="center"/>
    </xf>
    <xf numFmtId="0" fontId="8" fillId="16" borderId="1" xfId="0" applyFont="1" applyFill="1" applyBorder="1" applyAlignment="1">
      <alignment horizontal="center" vertical="center"/>
    </xf>
    <xf numFmtId="0" fontId="8" fillId="16" borderId="2" xfId="0" applyFont="1" applyFill="1" applyBorder="1" applyAlignment="1">
      <alignment horizontal="center" vertical="center"/>
    </xf>
    <xf numFmtId="0" fontId="8" fillId="16" borderId="3" xfId="0" applyFont="1" applyFill="1" applyBorder="1" applyAlignment="1">
      <alignment horizontal="center" vertical="center"/>
    </xf>
    <xf numFmtId="0" fontId="8" fillId="16" borderId="12" xfId="0" applyFont="1" applyFill="1" applyBorder="1" applyAlignment="1">
      <alignment horizontal="center" vertical="center"/>
    </xf>
    <xf numFmtId="0" fontId="8" fillId="16" borderId="0" xfId="0" applyFont="1" applyFill="1" applyAlignment="1">
      <alignment horizontal="center" vertical="center"/>
    </xf>
    <xf numFmtId="0" fontId="8" fillId="16" borderId="14" xfId="0" applyFont="1" applyFill="1" applyBorder="1" applyAlignment="1">
      <alignment horizontal="center" vertical="center"/>
    </xf>
    <xf numFmtId="0" fontId="7" fillId="16" borderId="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6" xfId="0" applyFont="1" applyFill="1" applyBorder="1" applyAlignment="1">
      <alignment horizontal="center" vertical="center"/>
    </xf>
    <xf numFmtId="0" fontId="20" fillId="18" borderId="7" xfId="0" applyFont="1" applyFill="1" applyBorder="1" applyAlignment="1">
      <alignment horizontal="center" vertical="center" wrapText="1"/>
    </xf>
    <xf numFmtId="0" fontId="20" fillId="18" borderId="8" xfId="0" applyFont="1" applyFill="1" applyBorder="1" applyAlignment="1">
      <alignment horizontal="center" vertical="center" wrapText="1"/>
    </xf>
    <xf numFmtId="0" fontId="20" fillId="18" borderId="9" xfId="0" applyFont="1" applyFill="1" applyBorder="1" applyAlignment="1">
      <alignment horizontal="center" vertical="center" wrapText="1"/>
    </xf>
    <xf numFmtId="0" fontId="18" fillId="16" borderId="10" xfId="0" applyFont="1" applyFill="1" applyBorder="1" applyAlignment="1">
      <alignment vertical="center"/>
    </xf>
    <xf numFmtId="0" fontId="0" fillId="0" borderId="10" xfId="0" applyBorder="1" applyAlignment="1">
      <alignment horizontal="left" vertical="top"/>
    </xf>
    <xf numFmtId="0" fontId="0" fillId="0" borderId="10" xfId="0" applyBorder="1"/>
    <xf numFmtId="0" fontId="26" fillId="16" borderId="10" xfId="0" applyFont="1" applyFill="1" applyBorder="1" applyAlignment="1">
      <alignment horizontal="center" vertical="center"/>
    </xf>
    <xf numFmtId="0" fontId="0" fillId="0" borderId="7" xfId="0" applyBorder="1"/>
    <xf numFmtId="0" fontId="0" fillId="0" borderId="10" xfId="0" applyBorder="1" applyAlignment="1">
      <alignment horizontal="left" vertical="center" wrapText="1"/>
    </xf>
    <xf numFmtId="0" fontId="0" fillId="0" borderId="7" xfId="0" applyBorder="1" applyAlignment="1">
      <alignment horizontal="left" vertical="center" wrapText="1"/>
    </xf>
    <xf numFmtId="0" fontId="17" fillId="19" borderId="25" xfId="0" applyFont="1" applyFill="1" applyBorder="1" applyAlignment="1">
      <alignment vertical="center" wrapText="1"/>
    </xf>
    <xf numFmtId="0" fontId="17" fillId="19" borderId="8" xfId="0" applyFont="1" applyFill="1" applyBorder="1" applyAlignment="1">
      <alignment vertical="center" wrapText="1"/>
    </xf>
    <xf numFmtId="0" fontId="0" fillId="0" borderId="8" xfId="0" applyBorder="1"/>
    <xf numFmtId="0" fontId="64" fillId="18" borderId="7" xfId="0" applyFont="1" applyFill="1" applyBorder="1" applyAlignment="1">
      <alignment horizontal="center" vertical="center" wrapText="1"/>
    </xf>
    <xf numFmtId="0" fontId="64" fillId="18" borderId="8" xfId="0" applyFont="1" applyFill="1" applyBorder="1" applyAlignment="1">
      <alignment horizontal="center" vertical="center" wrapText="1"/>
    </xf>
    <xf numFmtId="0" fontId="64" fillId="18" borderId="9" xfId="0" applyFont="1" applyFill="1" applyBorder="1" applyAlignment="1">
      <alignment horizontal="center" vertical="center" wrapText="1"/>
    </xf>
    <xf numFmtId="0" fontId="13" fillId="16" borderId="7" xfId="0" applyFont="1" applyFill="1" applyBorder="1" applyAlignment="1">
      <alignment vertical="center"/>
    </xf>
    <xf numFmtId="0" fontId="13" fillId="16" borderId="8" xfId="0" applyFont="1" applyFill="1" applyBorder="1" applyAlignment="1">
      <alignment vertical="center"/>
    </xf>
    <xf numFmtId="0" fontId="18" fillId="16" borderId="7" xfId="0" applyFont="1" applyFill="1" applyBorder="1" applyAlignment="1">
      <alignment vertical="center"/>
    </xf>
    <xf numFmtId="0" fontId="18" fillId="16" borderId="9" xfId="0" applyFont="1" applyFill="1" applyBorder="1" applyAlignment="1">
      <alignment vertical="center"/>
    </xf>
    <xf numFmtId="0" fontId="0" fillId="0" borderId="7" xfId="0" applyBorder="1" applyAlignment="1">
      <alignment horizontal="left" vertical="top"/>
    </xf>
    <xf numFmtId="0" fontId="0" fillId="0" borderId="8" xfId="0" applyBorder="1" applyAlignment="1">
      <alignment horizontal="left" vertical="top"/>
    </xf>
    <xf numFmtId="0" fontId="0" fillId="16" borderId="7" xfId="0" applyFill="1" applyBorder="1"/>
    <xf numFmtId="0" fontId="0" fillId="16" borderId="8" xfId="0" applyFill="1" applyBorder="1"/>
    <xf numFmtId="0" fontId="0" fillId="16" borderId="9" xfId="0" applyFill="1" applyBorder="1"/>
    <xf numFmtId="0" fontId="0" fillId="16" borderId="1" xfId="0" applyFill="1" applyBorder="1" applyAlignment="1">
      <alignment vertical="center"/>
    </xf>
    <xf numFmtId="0" fontId="0" fillId="16" borderId="2" xfId="0" applyFill="1" applyBorder="1" applyAlignment="1">
      <alignment vertical="center"/>
    </xf>
    <xf numFmtId="0" fontId="0" fillId="16" borderId="3" xfId="0" applyFill="1" applyBorder="1" applyAlignment="1">
      <alignment vertical="center"/>
    </xf>
    <xf numFmtId="0" fontId="0" fillId="16" borderId="4" xfId="0" applyFill="1" applyBorder="1" applyAlignment="1">
      <alignment vertical="center"/>
    </xf>
    <xf numFmtId="0" fontId="0" fillId="16" borderId="5" xfId="0" applyFill="1" applyBorder="1" applyAlignment="1">
      <alignment vertical="center"/>
    </xf>
    <xf numFmtId="0" fontId="0" fillId="16" borderId="6" xfId="0" applyFill="1" applyBorder="1" applyAlignment="1">
      <alignment vertical="center"/>
    </xf>
    <xf numFmtId="0" fontId="0" fillId="0" borderId="8" xfId="0" applyBorder="1" applyAlignment="1">
      <alignment horizontal="left" vertical="center" wrapText="1"/>
    </xf>
    <xf numFmtId="0" fontId="0" fillId="16" borderId="7" xfId="0" applyFill="1" applyBorder="1" applyAlignment="1">
      <alignment horizontal="left" vertical="top"/>
    </xf>
    <xf numFmtId="0" fontId="0" fillId="16" borderId="9" xfId="0" applyFill="1" applyBorder="1" applyAlignment="1">
      <alignment horizontal="left" vertical="top"/>
    </xf>
    <xf numFmtId="0" fontId="0" fillId="0" borderId="8" xfId="0" applyBorder="1" applyAlignment="1">
      <alignment vertical="center"/>
    </xf>
    <xf numFmtId="0" fontId="18" fillId="16" borderId="7" xfId="0" applyFont="1" applyFill="1" applyBorder="1" applyAlignment="1">
      <alignment vertical="center" wrapText="1"/>
    </xf>
    <xf numFmtId="0" fontId="18" fillId="16" borderId="8" xfId="0" applyFont="1" applyFill="1" applyBorder="1" applyAlignment="1">
      <alignment vertical="center" wrapText="1"/>
    </xf>
    <xf numFmtId="0" fontId="18" fillId="16" borderId="9" xfId="0" applyFont="1" applyFill="1" applyBorder="1" applyAlignment="1">
      <alignment vertical="center" wrapText="1"/>
    </xf>
    <xf numFmtId="0" fontId="0" fillId="16" borderId="7" xfId="0" applyFill="1" applyBorder="1" applyAlignment="1">
      <alignment vertical="center"/>
    </xf>
    <xf numFmtId="0" fontId="0" fillId="16" borderId="9" xfId="0" applyFill="1" applyBorder="1" applyAlignment="1">
      <alignment vertical="center"/>
    </xf>
    <xf numFmtId="0" fontId="78" fillId="41" borderId="2"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0" xfId="0" applyFont="1" applyFill="1" applyAlignment="1">
      <alignment horizontal="center" vertical="center"/>
    </xf>
    <xf numFmtId="0" fontId="8" fillId="2" borderId="14" xfId="0" applyFont="1" applyFill="1" applyBorder="1" applyAlignment="1">
      <alignment horizontal="center" vertical="center"/>
    </xf>
    <xf numFmtId="0" fontId="7" fillId="2" borderId="0" xfId="0" applyFont="1" applyFill="1" applyAlignment="1">
      <alignment horizontal="center" vertical="center"/>
    </xf>
    <xf numFmtId="0" fontId="7" fillId="2" borderId="14" xfId="0" applyFont="1" applyFill="1" applyBorder="1" applyAlignment="1">
      <alignment horizontal="center" vertical="center"/>
    </xf>
    <xf numFmtId="0" fontId="0" fillId="41" borderId="0" xfId="0" applyFill="1"/>
    <xf numFmtId="0" fontId="18" fillId="2" borderId="10" xfId="0" applyFont="1" applyFill="1" applyBorder="1" applyAlignment="1">
      <alignment vertical="center" wrapText="1"/>
    </xf>
    <xf numFmtId="0" fontId="0" fillId="2" borderId="10" xfId="0" applyFill="1" applyBorder="1"/>
    <xf numFmtId="0" fontId="13" fillId="2" borderId="10" xfId="0" applyFont="1" applyFill="1" applyBorder="1" applyAlignment="1">
      <alignment vertical="center"/>
    </xf>
    <xf numFmtId="0" fontId="0" fillId="2" borderId="10" xfId="0" applyFill="1" applyBorder="1" applyAlignment="1">
      <alignment vertical="center"/>
    </xf>
    <xf numFmtId="0" fontId="0" fillId="0" borderId="1"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8" fillId="37" borderId="1" xfId="0" applyFont="1" applyFill="1" applyBorder="1" applyAlignment="1">
      <alignment horizontal="center" vertical="center"/>
    </xf>
    <xf numFmtId="0" fontId="8" fillId="37" borderId="2" xfId="0" applyFont="1" applyFill="1" applyBorder="1" applyAlignment="1">
      <alignment horizontal="center" vertical="center"/>
    </xf>
    <xf numFmtId="0" fontId="8" fillId="37" borderId="12" xfId="0" applyFont="1" applyFill="1" applyBorder="1" applyAlignment="1">
      <alignment horizontal="center" vertical="center"/>
    </xf>
    <xf numFmtId="0" fontId="8" fillId="37" borderId="0" xfId="0" applyFont="1" applyFill="1" applyAlignment="1">
      <alignment horizontal="center" vertical="center"/>
    </xf>
    <xf numFmtId="0" fontId="7" fillId="37" borderId="12" xfId="0" applyFont="1" applyFill="1" applyBorder="1" applyAlignment="1">
      <alignment horizontal="center" vertical="center"/>
    </xf>
    <xf numFmtId="0" fontId="7" fillId="37" borderId="0" xfId="0" applyFont="1" applyFill="1" applyAlignment="1">
      <alignment horizontal="center" vertical="center"/>
    </xf>
    <xf numFmtId="0" fontId="65" fillId="37" borderId="7" xfId="0" applyFont="1" applyFill="1" applyBorder="1" applyAlignment="1">
      <alignment vertical="center" wrapText="1"/>
    </xf>
    <xf numFmtId="0" fontId="65" fillId="37" borderId="8" xfId="0" applyFont="1" applyFill="1" applyBorder="1" applyAlignment="1">
      <alignment vertical="center" wrapText="1"/>
    </xf>
    <xf numFmtId="0" fontId="65" fillId="37" borderId="9" xfId="0" applyFont="1" applyFill="1" applyBorder="1" applyAlignment="1">
      <alignment vertical="center" wrapText="1"/>
    </xf>
    <xf numFmtId="0" fontId="18" fillId="37" borderId="10" xfId="0" applyFont="1" applyFill="1" applyBorder="1" applyAlignment="1">
      <alignment vertical="center" wrapText="1"/>
    </xf>
    <xf numFmtId="0" fontId="18" fillId="0" borderId="10" xfId="0" applyFont="1" applyBorder="1" applyAlignment="1">
      <alignment vertical="center"/>
    </xf>
    <xf numFmtId="0" fontId="18" fillId="37" borderId="7" xfId="0" applyFont="1" applyFill="1" applyBorder="1" applyAlignment="1">
      <alignment vertical="center"/>
    </xf>
    <xf numFmtId="0" fontId="18" fillId="37" borderId="9" xfId="0" applyFont="1" applyFill="1" applyBorder="1" applyAlignment="1">
      <alignment vertical="center"/>
    </xf>
    <xf numFmtId="0" fontId="18" fillId="0" borderId="7" xfId="0" applyFont="1" applyBorder="1" applyAlignment="1">
      <alignment vertical="center"/>
    </xf>
    <xf numFmtId="0" fontId="18" fillId="0" borderId="8" xfId="0" applyFont="1" applyBorder="1" applyAlignment="1">
      <alignment vertical="center"/>
    </xf>
    <xf numFmtId="0" fontId="18" fillId="0" borderId="9" xfId="0" applyFont="1" applyBorder="1" applyAlignment="1">
      <alignment vertical="center"/>
    </xf>
    <xf numFmtId="0" fontId="6" fillId="36" borderId="10" xfId="0" applyFont="1" applyFill="1" applyBorder="1" applyAlignment="1">
      <alignment horizontal="center" vertical="center" wrapText="1"/>
    </xf>
    <xf numFmtId="0" fontId="67" fillId="36" borderId="10" xfId="0" applyFont="1" applyFill="1" applyBorder="1" applyAlignment="1">
      <alignment horizontal="center" vertical="center" wrapText="1"/>
    </xf>
    <xf numFmtId="0" fontId="18" fillId="37" borderId="8" xfId="0" applyFont="1" applyFill="1" applyBorder="1" applyAlignment="1">
      <alignment vertical="center"/>
    </xf>
    <xf numFmtId="0" fontId="18" fillId="37" borderId="10" xfId="0" applyFont="1" applyFill="1" applyBorder="1"/>
    <xf numFmtId="0" fontId="18" fillId="0" borderId="10" xfId="0" applyFont="1" applyBorder="1"/>
    <xf numFmtId="0" fontId="18" fillId="37" borderId="7" xfId="0" applyFont="1" applyFill="1" applyBorder="1" applyAlignment="1">
      <alignment horizontal="left" vertical="top"/>
    </xf>
    <xf numFmtId="0" fontId="18" fillId="37" borderId="9" xfId="0" applyFont="1" applyFill="1" applyBorder="1" applyAlignment="1">
      <alignment horizontal="left" vertical="top"/>
    </xf>
    <xf numFmtId="0" fontId="18" fillId="0" borderId="7" xfId="0" applyFont="1" applyBorder="1" applyAlignment="1">
      <alignment horizontal="left" vertical="top"/>
    </xf>
    <xf numFmtId="0" fontId="18" fillId="0" borderId="8" xfId="0" applyFont="1" applyBorder="1" applyAlignment="1">
      <alignment horizontal="left" vertical="top"/>
    </xf>
    <xf numFmtId="0" fontId="18" fillId="0" borderId="9" xfId="0" applyFont="1" applyBorder="1" applyAlignment="1">
      <alignment horizontal="left" vertical="top"/>
    </xf>
    <xf numFmtId="0" fontId="18" fillId="37" borderId="10" xfId="0" applyFont="1" applyFill="1" applyBorder="1" applyAlignment="1">
      <alignment vertical="center"/>
    </xf>
    <xf numFmtId="0" fontId="18" fillId="0" borderId="10" xfId="0" applyFont="1" applyBorder="1" applyAlignment="1">
      <alignment horizontal="left" vertical="center" wrapText="1"/>
    </xf>
    <xf numFmtId="0" fontId="18" fillId="37" borderId="7" xfId="0" applyFont="1" applyFill="1" applyBorder="1"/>
    <xf numFmtId="0" fontId="18" fillId="37" borderId="9" xfId="0" applyFont="1" applyFill="1" applyBorder="1"/>
    <xf numFmtId="0" fontId="18" fillId="0" borderId="7" xfId="0" applyFont="1" applyBorder="1"/>
    <xf numFmtId="0" fontId="18" fillId="0" borderId="8" xfId="0" applyFont="1" applyBorder="1"/>
    <xf numFmtId="0" fontId="18" fillId="0" borderId="9" xfId="0" applyFont="1" applyBorder="1"/>
    <xf numFmtId="0" fontId="6" fillId="36" borderId="1" xfId="0" applyFont="1" applyFill="1" applyBorder="1" applyAlignment="1">
      <alignment horizontal="center" vertical="center" wrapText="1"/>
    </xf>
    <xf numFmtId="0" fontId="6" fillId="36" borderId="2" xfId="0" applyFont="1" applyFill="1" applyBorder="1" applyAlignment="1">
      <alignment horizontal="center" vertical="center" wrapText="1"/>
    </xf>
    <xf numFmtId="0" fontId="12" fillId="38" borderId="7" xfId="0" applyFont="1" applyFill="1" applyBorder="1" applyAlignment="1" applyProtection="1">
      <alignment vertical="center" wrapText="1"/>
      <protection locked="0"/>
    </xf>
    <xf numFmtId="0" fontId="12" fillId="38" borderId="8" xfId="0" applyFont="1" applyFill="1" applyBorder="1" applyAlignment="1" applyProtection="1">
      <alignment vertical="center" wrapText="1"/>
      <protection locked="0"/>
    </xf>
    <xf numFmtId="0" fontId="12" fillId="38" borderId="9" xfId="0" applyFont="1" applyFill="1" applyBorder="1" applyAlignment="1" applyProtection="1">
      <alignment vertical="center" wrapText="1"/>
      <protection locked="0"/>
    </xf>
    <xf numFmtId="0" fontId="0" fillId="38" borderId="12" xfId="0" applyFill="1" applyBorder="1" applyAlignment="1">
      <alignment horizontal="center" vertical="center"/>
    </xf>
    <xf numFmtId="0" fontId="0" fillId="38" borderId="0" xfId="0" applyFill="1" applyAlignment="1">
      <alignment horizontal="center" vertical="center"/>
    </xf>
    <xf numFmtId="0" fontId="6" fillId="5" borderId="2" xfId="0" applyFont="1" applyFill="1" applyBorder="1" applyAlignment="1">
      <alignment horizontal="center" vertical="center"/>
    </xf>
    <xf numFmtId="0" fontId="22" fillId="4" borderId="1"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22" fillId="4" borderId="4" xfId="0" applyFont="1" applyFill="1" applyBorder="1" applyAlignment="1">
      <alignment horizontal="center" vertical="center" wrapText="1"/>
    </xf>
    <xf numFmtId="0" fontId="22" fillId="4" borderId="5" xfId="0" applyFont="1" applyFill="1" applyBorder="1" applyAlignment="1">
      <alignment horizontal="center" vertical="center" wrapText="1"/>
    </xf>
    <xf numFmtId="0" fontId="71" fillId="41" borderId="21" xfId="0" applyFont="1" applyFill="1" applyBorder="1" applyAlignment="1">
      <alignment horizontal="center" vertical="center"/>
    </xf>
    <xf numFmtId="0" fontId="71" fillId="41" borderId="8" xfId="0" applyFont="1" applyFill="1" applyBorder="1" applyAlignment="1">
      <alignment horizontal="center" vertical="center"/>
    </xf>
    <xf numFmtId="0" fontId="71" fillId="41" borderId="9" xfId="0" applyFont="1" applyFill="1" applyBorder="1" applyAlignment="1">
      <alignment horizontal="center" vertical="center"/>
    </xf>
    <xf numFmtId="0" fontId="71" fillId="44" borderId="7" xfId="0" applyFont="1" applyFill="1" applyBorder="1" applyAlignment="1">
      <alignment horizontal="right"/>
    </xf>
    <xf numFmtId="0" fontId="71" fillId="44" borderId="8" xfId="0" applyFont="1" applyFill="1" applyBorder="1" applyAlignment="1">
      <alignment horizontal="right"/>
    </xf>
    <xf numFmtId="0" fontId="71" fillId="44" borderId="32" xfId="0" applyFont="1" applyFill="1" applyBorder="1" applyAlignment="1">
      <alignment horizontal="right"/>
    </xf>
    <xf numFmtId="14" fontId="3" fillId="54" borderId="10" xfId="0" applyNumberFormat="1" applyFont="1" applyFill="1" applyBorder="1" applyAlignment="1">
      <alignment horizontal="center" vertical="center"/>
    </xf>
    <xf numFmtId="14" fontId="3" fillId="53" borderId="10" xfId="0" applyNumberFormat="1" applyFont="1" applyFill="1" applyBorder="1" applyAlignment="1">
      <alignment horizontal="center" vertical="center"/>
    </xf>
    <xf numFmtId="0" fontId="0" fillId="14" borderId="21" xfId="0" applyFill="1" applyBorder="1" applyAlignment="1">
      <alignment horizontal="center" vertical="center" wrapText="1"/>
    </xf>
    <xf numFmtId="0" fontId="0" fillId="14" borderId="8" xfId="0" applyFill="1" applyBorder="1" applyAlignment="1">
      <alignment horizontal="center" vertical="center" wrapText="1"/>
    </xf>
    <xf numFmtId="0" fontId="0" fillId="52" borderId="10" xfId="0" applyFill="1" applyBorder="1"/>
    <xf numFmtId="0" fontId="0" fillId="9" borderId="21" xfId="0" applyFill="1" applyBorder="1" applyAlignment="1">
      <alignment horizontal="center" vertical="center" wrapText="1"/>
    </xf>
    <xf numFmtId="0" fontId="0" fillId="9" borderId="8" xfId="0" applyFill="1" applyBorder="1" applyAlignment="1">
      <alignment horizontal="center" vertical="center" wrapText="1"/>
    </xf>
    <xf numFmtId="0" fontId="47" fillId="9" borderId="10" xfId="0" applyFont="1" applyFill="1" applyBorder="1" applyAlignment="1">
      <alignment horizontal="center" vertical="center" wrapText="1"/>
    </xf>
    <xf numFmtId="0" fontId="47" fillId="9" borderId="7" xfId="0" applyFont="1" applyFill="1" applyBorder="1" applyAlignment="1">
      <alignment horizontal="center" vertical="center" wrapText="1"/>
    </xf>
    <xf numFmtId="0" fontId="47" fillId="9" borderId="8" xfId="0" applyFont="1" applyFill="1" applyBorder="1" applyAlignment="1">
      <alignment horizontal="center" vertical="center" wrapText="1"/>
    </xf>
    <xf numFmtId="0" fontId="26" fillId="50" borderId="21" xfId="0" applyFont="1" applyFill="1" applyBorder="1" applyAlignment="1">
      <alignment horizontal="center" vertical="center" wrapText="1"/>
    </xf>
    <xf numFmtId="0" fontId="26" fillId="50" borderId="8" xfId="0" applyFont="1" applyFill="1" applyBorder="1" applyAlignment="1">
      <alignment horizontal="center" vertical="center" wrapText="1"/>
    </xf>
    <xf numFmtId="0" fontId="26" fillId="50" borderId="9" xfId="0" applyFont="1" applyFill="1" applyBorder="1" applyAlignment="1">
      <alignment horizontal="center" vertical="center" wrapText="1"/>
    </xf>
    <xf numFmtId="0" fontId="0" fillId="9" borderId="32" xfId="0" applyFill="1" applyBorder="1" applyAlignment="1">
      <alignment horizontal="center" vertical="center" wrapText="1"/>
    </xf>
    <xf numFmtId="14" fontId="3" fillId="53" borderId="10" xfId="0" applyNumberFormat="1" applyFont="1" applyFill="1" applyBorder="1" applyAlignment="1">
      <alignment horizontal="center"/>
    </xf>
    <xf numFmtId="14" fontId="3" fillId="54" borderId="10" xfId="0" applyNumberFormat="1" applyFont="1" applyFill="1" applyBorder="1"/>
    <xf numFmtId="14" fontId="3" fillId="53" borderId="10" xfId="0" applyNumberFormat="1" applyFont="1" applyFill="1" applyBorder="1"/>
    <xf numFmtId="0" fontId="10" fillId="14" borderId="7" xfId="0" applyFont="1" applyFill="1" applyBorder="1" applyAlignment="1">
      <alignment vertical="center" wrapText="1"/>
    </xf>
    <xf numFmtId="0" fontId="10" fillId="14" borderId="8" xfId="0" applyFont="1" applyFill="1" applyBorder="1" applyAlignment="1">
      <alignment vertical="center" wrapText="1"/>
    </xf>
    <xf numFmtId="0" fontId="0" fillId="14" borderId="7" xfId="0" applyFill="1" applyBorder="1" applyAlignment="1">
      <alignment horizontal="center" vertical="center" wrapText="1"/>
    </xf>
    <xf numFmtId="0" fontId="8" fillId="52" borderId="7" xfId="0" applyFont="1" applyFill="1" applyBorder="1" applyAlignment="1">
      <alignment vertical="center" wrapText="1"/>
    </xf>
    <xf numFmtId="0" fontId="8" fillId="52" borderId="8" xfId="0" applyFont="1" applyFill="1" applyBorder="1" applyAlignment="1">
      <alignment vertical="center" wrapText="1"/>
    </xf>
    <xf numFmtId="0" fontId="8" fillId="52" borderId="9" xfId="0" applyFont="1" applyFill="1" applyBorder="1" applyAlignment="1">
      <alignment vertical="center" wrapText="1"/>
    </xf>
    <xf numFmtId="0" fontId="7" fillId="52" borderId="10" xfId="0" applyFont="1" applyFill="1" applyBorder="1" applyAlignment="1">
      <alignment vertical="center" wrapText="1"/>
    </xf>
    <xf numFmtId="0" fontId="8" fillId="53" borderId="10" xfId="0" applyFont="1" applyFill="1" applyBorder="1" applyAlignment="1">
      <alignment horizontal="center" vertical="center" wrapText="1"/>
    </xf>
    <xf numFmtId="0" fontId="8" fillId="54" borderId="10" xfId="0" applyFont="1" applyFill="1" applyBorder="1" applyAlignment="1">
      <alignment horizontal="center" vertical="center" wrapText="1"/>
    </xf>
    <xf numFmtId="0" fontId="0" fillId="11" borderId="10" xfId="0" applyFill="1" applyBorder="1"/>
    <xf numFmtId="0" fontId="66" fillId="35" borderId="10" xfId="0" applyFont="1" applyFill="1" applyBorder="1" applyAlignment="1">
      <alignment horizontal="left" vertical="center"/>
    </xf>
    <xf numFmtId="0" fontId="0" fillId="11" borderId="11" xfId="0" applyFill="1" applyBorder="1"/>
    <xf numFmtId="0" fontId="78" fillId="5" borderId="2" xfId="0" applyFont="1" applyFill="1" applyBorder="1" applyAlignment="1">
      <alignment horizontal="right"/>
    </xf>
    <xf numFmtId="0" fontId="2" fillId="5" borderId="2" xfId="0" applyFont="1" applyFill="1" applyBorder="1" applyAlignment="1">
      <alignment horizontal="right"/>
    </xf>
    <xf numFmtId="0" fontId="14" fillId="13" borderId="0" xfId="0" applyFont="1" applyFill="1"/>
    <xf numFmtId="0" fontId="14" fillId="19" borderId="0" xfId="0" applyFont="1" applyFill="1"/>
    <xf numFmtId="0" fontId="14" fillId="36" borderId="0" xfId="0" applyFont="1" applyFill="1"/>
    <xf numFmtId="0" fontId="0" fillId="51" borderId="7" xfId="0" applyFill="1" applyBorder="1"/>
    <xf numFmtId="0" fontId="0" fillId="51" borderId="8" xfId="0" applyFill="1" applyBorder="1"/>
    <xf numFmtId="0" fontId="0" fillId="51" borderId="9" xfId="0" applyFill="1" applyBorder="1"/>
    <xf numFmtId="0" fontId="71" fillId="41" borderId="7" xfId="0" applyFont="1" applyFill="1" applyBorder="1" applyAlignment="1">
      <alignment horizontal="right"/>
    </xf>
    <xf numFmtId="0" fontId="71" fillId="41" borderId="8" xfId="0" applyFont="1" applyFill="1" applyBorder="1" applyAlignment="1">
      <alignment horizontal="right"/>
    </xf>
    <xf numFmtId="0" fontId="71" fillId="41" borderId="32" xfId="0" applyFont="1" applyFill="1" applyBorder="1" applyAlignment="1">
      <alignment horizontal="right"/>
    </xf>
    <xf numFmtId="0" fontId="36" fillId="35" borderId="9" xfId="0" applyFont="1" applyFill="1" applyBorder="1"/>
    <xf numFmtId="0" fontId="36" fillId="35" borderId="10" xfId="0" applyFont="1" applyFill="1" applyBorder="1"/>
    <xf numFmtId="0" fontId="6" fillId="5" borderId="2" xfId="0" applyFont="1" applyFill="1" applyBorder="1" applyAlignment="1">
      <alignment horizontal="right"/>
    </xf>
    <xf numFmtId="0" fontId="8" fillId="9" borderId="7"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66" fillId="35" borderId="10" xfId="0" applyFont="1" applyFill="1" applyBorder="1"/>
    <xf numFmtId="0" fontId="6" fillId="36" borderId="7" xfId="0" applyFont="1" applyFill="1" applyBorder="1" applyAlignment="1">
      <alignment horizontal="left" vertical="center"/>
    </xf>
    <xf numFmtId="0" fontId="6" fillId="36" borderId="8" xfId="0" applyFont="1" applyFill="1" applyBorder="1" applyAlignment="1">
      <alignment horizontal="left" vertical="center"/>
    </xf>
    <xf numFmtId="0" fontId="6" fillId="36" borderId="9" xfId="0" applyFont="1" applyFill="1" applyBorder="1" applyAlignment="1">
      <alignment horizontal="left" vertical="center"/>
    </xf>
    <xf numFmtId="0" fontId="66" fillId="39" borderId="12" xfId="0" applyFont="1" applyFill="1" applyBorder="1" applyAlignment="1">
      <alignment horizontal="left" vertical="center"/>
    </xf>
    <xf numFmtId="0" fontId="66" fillId="39" borderId="0" xfId="0" applyFont="1" applyFill="1" applyAlignment="1">
      <alignment horizontal="left" vertical="center"/>
    </xf>
    <xf numFmtId="0" fontId="0" fillId="37" borderId="7" xfId="0" applyFill="1" applyBorder="1" applyAlignment="1">
      <alignment horizontal="left" vertical="center"/>
    </xf>
    <xf numFmtId="0" fontId="0" fillId="37" borderId="8" xfId="0" applyFill="1" applyBorder="1" applyAlignment="1">
      <alignment horizontal="left" vertical="center"/>
    </xf>
    <xf numFmtId="0" fontId="0" fillId="37" borderId="9" xfId="0" applyFill="1" applyBorder="1" applyAlignment="1">
      <alignment horizontal="left" vertical="center"/>
    </xf>
    <xf numFmtId="0" fontId="14" fillId="10" borderId="0" xfId="0" applyFont="1" applyFill="1" applyAlignment="1">
      <alignment horizontal="center" vertical="center"/>
    </xf>
    <xf numFmtId="0" fontId="66" fillId="47" borderId="0" xfId="0" applyFont="1" applyFill="1" applyAlignment="1">
      <alignment horizontal="left" vertical="center"/>
    </xf>
    <xf numFmtId="0" fontId="71" fillId="44" borderId="21" xfId="0" applyFont="1" applyFill="1" applyBorder="1" applyAlignment="1">
      <alignment horizontal="center" vertical="center"/>
    </xf>
    <xf numFmtId="0" fontId="71" fillId="44" borderId="8" xfId="0" applyFont="1" applyFill="1" applyBorder="1" applyAlignment="1">
      <alignment horizontal="center" vertical="center"/>
    </xf>
    <xf numFmtId="0" fontId="71" fillId="44" borderId="9" xfId="0" applyFont="1" applyFill="1" applyBorder="1" applyAlignment="1">
      <alignment horizontal="center" vertical="center"/>
    </xf>
    <xf numFmtId="0" fontId="66" fillId="47" borderId="0" xfId="0" applyFont="1" applyFill="1"/>
    <xf numFmtId="0" fontId="66" fillId="40" borderId="0" xfId="0" applyFont="1" applyFill="1" applyAlignment="1">
      <alignment horizontal="left" vertical="center"/>
    </xf>
    <xf numFmtId="0" fontId="20" fillId="11" borderId="7" xfId="0" applyFont="1" applyFill="1" applyBorder="1" applyAlignment="1" applyProtection="1">
      <alignment horizontal="left" vertical="center" wrapText="1"/>
      <protection locked="0"/>
    </xf>
    <xf numFmtId="0" fontId="20" fillId="11" borderId="8" xfId="0" applyFont="1" applyFill="1" applyBorder="1" applyAlignment="1" applyProtection="1">
      <alignment horizontal="left" vertical="center" wrapText="1"/>
      <protection locked="0"/>
    </xf>
    <xf numFmtId="0" fontId="20" fillId="11" borderId="9" xfId="0" applyFont="1" applyFill="1" applyBorder="1" applyAlignment="1" applyProtection="1">
      <alignment horizontal="left" vertical="center" wrapText="1"/>
      <protection locked="0"/>
    </xf>
    <xf numFmtId="0" fontId="1" fillId="37" borderId="7" xfId="0" applyFont="1" applyFill="1" applyBorder="1" applyAlignment="1">
      <alignment vertical="center"/>
    </xf>
    <xf numFmtId="0" fontId="1" fillId="37" borderId="8" xfId="0" applyFont="1" applyFill="1" applyBorder="1" applyAlignment="1">
      <alignment vertical="center"/>
    </xf>
    <xf numFmtId="0" fontId="1" fillId="37" borderId="9" xfId="0" applyFont="1" applyFill="1" applyBorder="1" applyAlignment="1">
      <alignment vertical="center"/>
    </xf>
    <xf numFmtId="0" fontId="8" fillId="37" borderId="3" xfId="0" applyFont="1" applyFill="1" applyBorder="1" applyAlignment="1">
      <alignment horizontal="center" vertical="center"/>
    </xf>
    <xf numFmtId="0" fontId="8" fillId="37" borderId="14" xfId="0" applyFont="1" applyFill="1" applyBorder="1" applyAlignment="1">
      <alignment horizontal="center" vertical="center"/>
    </xf>
    <xf numFmtId="0" fontId="7" fillId="37" borderId="4" xfId="0" applyFont="1" applyFill="1" applyBorder="1" applyAlignment="1">
      <alignment horizontal="center" vertical="center"/>
    </xf>
    <xf numFmtId="0" fontId="7" fillId="37" borderId="5" xfId="0" applyFont="1" applyFill="1" applyBorder="1" applyAlignment="1">
      <alignment horizontal="center" vertical="center"/>
    </xf>
    <xf numFmtId="0" fontId="7" fillId="37" borderId="6" xfId="0" applyFont="1" applyFill="1" applyBorder="1" applyAlignment="1">
      <alignment horizontal="center" vertical="center"/>
    </xf>
    <xf numFmtId="0" fontId="0" fillId="37" borderId="7" xfId="0" applyFill="1" applyBorder="1" applyAlignment="1">
      <alignment vertical="center"/>
    </xf>
    <xf numFmtId="0" fontId="0" fillId="37" borderId="8" xfId="0" applyFill="1" applyBorder="1" applyAlignment="1">
      <alignment vertical="center"/>
    </xf>
    <xf numFmtId="0" fontId="0" fillId="37" borderId="9" xfId="0" applyFill="1" applyBorder="1" applyAlignment="1">
      <alignment vertical="center"/>
    </xf>
    <xf numFmtId="0" fontId="20" fillId="0" borderId="10" xfId="0" applyFont="1" applyBorder="1" applyAlignment="1" applyProtection="1">
      <alignment wrapText="1"/>
      <protection locked="0"/>
    </xf>
    <xf numFmtId="0" fontId="20" fillId="0" borderId="10" xfId="0" applyFont="1" applyBorder="1" applyAlignment="1" applyProtection="1">
      <alignment vertical="center" wrapText="1"/>
      <protection locked="0"/>
    </xf>
    <xf numFmtId="0" fontId="20" fillId="0" borderId="10" xfId="0" applyFont="1" applyBorder="1" applyAlignment="1" applyProtection="1">
      <alignment horizontal="left" vertical="center" wrapText="1"/>
      <protection locked="0"/>
    </xf>
    <xf numFmtId="0" fontId="1" fillId="37" borderId="7" xfId="0" applyFont="1" applyFill="1" applyBorder="1" applyAlignment="1">
      <alignment horizontal="left" vertical="center"/>
    </xf>
    <xf numFmtId="0" fontId="1" fillId="37" borderId="8" xfId="0" applyFont="1" applyFill="1" applyBorder="1" applyAlignment="1">
      <alignment horizontal="left" vertical="center"/>
    </xf>
    <xf numFmtId="0" fontId="1" fillId="37" borderId="9" xfId="0" applyFont="1" applyFill="1" applyBorder="1" applyAlignment="1">
      <alignment horizontal="left" vertical="center"/>
    </xf>
    <xf numFmtId="0" fontId="5" fillId="45" borderId="7" xfId="0" applyFont="1" applyFill="1" applyBorder="1" applyAlignment="1">
      <alignment horizontal="center" vertical="center"/>
    </xf>
    <xf numFmtId="0" fontId="5" fillId="45" borderId="8" xfId="0" applyFont="1" applyFill="1" applyBorder="1" applyAlignment="1">
      <alignment horizontal="center" vertical="center"/>
    </xf>
    <xf numFmtId="0" fontId="5" fillId="45" borderId="9" xfId="0" applyFont="1" applyFill="1" applyBorder="1" applyAlignment="1">
      <alignment horizontal="center" vertical="center"/>
    </xf>
    <xf numFmtId="0" fontId="5" fillId="6" borderId="8" xfId="0" applyFont="1" applyFill="1" applyBorder="1" applyAlignment="1">
      <alignment horizontal="center" vertical="center"/>
    </xf>
    <xf numFmtId="0" fontId="26" fillId="14" borderId="4" xfId="0" applyFont="1" applyFill="1" applyBorder="1" applyAlignment="1">
      <alignment horizontal="center" vertical="center"/>
    </xf>
    <xf numFmtId="0" fontId="26" fillId="14" borderId="5" xfId="0" applyFont="1" applyFill="1" applyBorder="1" applyAlignment="1">
      <alignment horizontal="center" vertical="center"/>
    </xf>
    <xf numFmtId="0" fontId="26" fillId="48" borderId="21" xfId="0" applyFont="1" applyFill="1" applyBorder="1" applyAlignment="1">
      <alignment horizontal="center" vertical="center"/>
    </xf>
    <xf numFmtId="0" fontId="26" fillId="48" borderId="8" xfId="0" applyFont="1" applyFill="1" applyBorder="1" applyAlignment="1">
      <alignment horizontal="center" vertical="center"/>
    </xf>
    <xf numFmtId="0" fontId="26" fillId="48" borderId="9" xfId="0" applyFont="1" applyFill="1" applyBorder="1" applyAlignment="1">
      <alignment horizontal="center" vertical="center"/>
    </xf>
    <xf numFmtId="0" fontId="72" fillId="4" borderId="7" xfId="0" applyFont="1" applyFill="1" applyBorder="1" applyAlignment="1">
      <alignment horizontal="center" vertical="center" wrapText="1"/>
    </xf>
    <xf numFmtId="0" fontId="72" fillId="4" borderId="8" xfId="0" applyFont="1" applyFill="1" applyBorder="1" applyAlignment="1">
      <alignment horizontal="center" vertical="center" wrapText="1"/>
    </xf>
    <xf numFmtId="0" fontId="72" fillId="4" borderId="10" xfId="0" applyFont="1" applyFill="1" applyBorder="1" applyAlignment="1">
      <alignment horizontal="center" vertical="center" wrapText="1"/>
    </xf>
    <xf numFmtId="0" fontId="14" fillId="10" borderId="5" xfId="0" applyFont="1" applyFill="1" applyBorder="1" applyAlignment="1">
      <alignment horizontal="center" vertical="center"/>
    </xf>
    <xf numFmtId="0" fontId="65" fillId="9" borderId="10" xfId="0" applyFont="1" applyFill="1" applyBorder="1" applyAlignment="1">
      <alignment horizontal="center" vertical="center" wrapText="1"/>
    </xf>
    <xf numFmtId="0" fontId="65" fillId="9" borderId="7" xfId="0" applyFont="1" applyFill="1" applyBorder="1" applyAlignment="1">
      <alignment horizontal="center" vertical="center" wrapText="1"/>
    </xf>
    <xf numFmtId="0" fontId="68" fillId="3" borderId="10" xfId="0" applyFont="1" applyFill="1" applyBorder="1" applyAlignment="1">
      <alignment horizontal="center" vertical="center" wrapText="1"/>
    </xf>
    <xf numFmtId="0" fontId="3" fillId="15" borderId="1" xfId="0" applyFont="1" applyFill="1" applyBorder="1" applyAlignment="1" applyProtection="1">
      <alignment vertical="center" wrapText="1"/>
      <protection locked="0"/>
    </xf>
    <xf numFmtId="0" fontId="3" fillId="15" borderId="3" xfId="0" applyFont="1" applyFill="1" applyBorder="1" applyAlignment="1" applyProtection="1">
      <alignment vertical="center" wrapText="1"/>
      <protection locked="0"/>
    </xf>
    <xf numFmtId="0" fontId="16" fillId="23" borderId="7" xfId="0" applyFont="1" applyFill="1" applyBorder="1" applyAlignment="1" applyProtection="1">
      <alignment horizontal="center" vertical="center" textRotation="90" wrapText="1"/>
      <protection locked="0"/>
    </xf>
    <xf numFmtId="0" fontId="16" fillId="23" borderId="9" xfId="0" applyFont="1" applyFill="1" applyBorder="1" applyAlignment="1" applyProtection="1">
      <alignment horizontal="center" vertical="center" textRotation="90" wrapText="1"/>
      <protection locked="0"/>
    </xf>
    <xf numFmtId="0" fontId="16" fillId="22" borderId="7" xfId="0" applyFont="1" applyFill="1" applyBorder="1" applyAlignment="1">
      <alignment vertical="center" wrapText="1"/>
    </xf>
    <xf numFmtId="0" fontId="16" fillId="22" borderId="8" xfId="0" applyFont="1" applyFill="1" applyBorder="1" applyAlignment="1">
      <alignment vertical="center" wrapText="1"/>
    </xf>
    <xf numFmtId="0" fontId="16" fillId="15" borderId="7" xfId="0" applyFont="1" applyFill="1" applyBorder="1" applyAlignment="1" applyProtection="1">
      <alignment horizontal="center" vertical="center" wrapText="1"/>
      <protection locked="0"/>
    </xf>
    <xf numFmtId="0" fontId="16" fillId="15" borderId="9" xfId="0" applyFont="1" applyFill="1" applyBorder="1" applyAlignment="1" applyProtection="1">
      <alignment horizontal="center" vertical="center" wrapText="1"/>
      <protection locked="0"/>
    </xf>
    <xf numFmtId="0" fontId="16" fillId="23" borderId="7" xfId="0" applyFont="1" applyFill="1" applyBorder="1" applyAlignment="1" applyProtection="1">
      <alignment horizontal="center" vertical="center" wrapText="1"/>
      <protection locked="0"/>
    </xf>
    <xf numFmtId="0" fontId="16" fillId="23" borderId="9" xfId="0" applyFont="1" applyFill="1" applyBorder="1" applyAlignment="1" applyProtection="1">
      <alignment horizontal="center" vertical="center" wrapText="1"/>
      <protection locked="0"/>
    </xf>
    <xf numFmtId="0" fontId="16" fillId="15" borderId="7" xfId="0" applyFont="1" applyFill="1" applyBorder="1" applyAlignment="1">
      <alignment horizontal="center" vertical="center"/>
    </xf>
    <xf numFmtId="0" fontId="16" fillId="15" borderId="9" xfId="0" applyFont="1" applyFill="1" applyBorder="1" applyAlignment="1">
      <alignment horizontal="center" vertical="center"/>
    </xf>
    <xf numFmtId="0" fontId="16" fillId="23" borderId="1" xfId="0" applyFont="1" applyFill="1" applyBorder="1" applyAlignment="1" applyProtection="1">
      <alignment vertical="center" wrapText="1"/>
      <protection locked="0"/>
    </xf>
    <xf numFmtId="0" fontId="16" fillId="23" borderId="3" xfId="0" applyFont="1" applyFill="1" applyBorder="1" applyAlignment="1" applyProtection="1">
      <alignment vertical="center" wrapText="1"/>
      <protection locked="0"/>
    </xf>
    <xf numFmtId="0" fontId="3" fillId="21" borderId="7" xfId="0" applyFont="1" applyFill="1" applyBorder="1" applyAlignment="1">
      <alignment vertical="center" wrapText="1"/>
    </xf>
    <xf numFmtId="0" fontId="3" fillId="21" borderId="8" xfId="0" applyFont="1" applyFill="1" applyBorder="1" applyAlignment="1">
      <alignment vertical="center" wrapText="1"/>
    </xf>
    <xf numFmtId="0" fontId="3" fillId="21" borderId="9" xfId="0" applyFont="1" applyFill="1" applyBorder="1" applyAlignment="1">
      <alignment vertical="center" wrapText="1"/>
    </xf>
    <xf numFmtId="0" fontId="16" fillId="21" borderId="7" xfId="0" applyFont="1" applyFill="1" applyBorder="1" applyAlignment="1">
      <alignment vertical="center" wrapText="1"/>
    </xf>
    <xf numFmtId="0" fontId="16" fillId="21" borderId="8" xfId="0" applyFont="1" applyFill="1" applyBorder="1" applyAlignment="1">
      <alignment vertical="center" wrapText="1"/>
    </xf>
    <xf numFmtId="0" fontId="16" fillId="21" borderId="9" xfId="0" applyFont="1" applyFill="1" applyBorder="1" applyAlignment="1">
      <alignment vertical="center" wrapText="1"/>
    </xf>
    <xf numFmtId="0" fontId="16" fillId="22" borderId="7" xfId="0" applyFont="1" applyFill="1" applyBorder="1" applyAlignment="1">
      <alignment horizontal="center" vertical="center" wrapText="1"/>
    </xf>
    <xf numFmtId="0" fontId="16" fillId="22" borderId="8" xfId="0" applyFont="1" applyFill="1" applyBorder="1" applyAlignment="1">
      <alignment horizontal="center" vertical="center" wrapText="1"/>
    </xf>
    <xf numFmtId="0" fontId="16" fillId="22" borderId="9" xfId="0" applyFont="1" applyFill="1" applyBorder="1" applyAlignment="1">
      <alignment horizontal="center" vertical="center" wrapText="1"/>
    </xf>
    <xf numFmtId="0" fontId="16" fillId="22" borderId="9" xfId="0" applyFont="1" applyFill="1" applyBorder="1" applyAlignment="1">
      <alignment vertical="center" wrapText="1"/>
    </xf>
    <xf numFmtId="0" fontId="33" fillId="26" borderId="7" xfId="0" applyFont="1" applyFill="1" applyBorder="1" applyAlignment="1">
      <alignment vertical="center" wrapText="1"/>
    </xf>
    <xf numFmtId="0" fontId="33" fillId="26" borderId="9" xfId="0" applyFont="1" applyFill="1" applyBorder="1" applyAlignment="1">
      <alignment vertical="center" wrapText="1"/>
    </xf>
    <xf numFmtId="0" fontId="35" fillId="24" borderId="7" xfId="0" applyFont="1" applyFill="1" applyBorder="1" applyAlignment="1">
      <alignment vertical="center" wrapText="1"/>
    </xf>
    <xf numFmtId="0" fontId="35" fillId="24" borderId="9" xfId="0" applyFont="1" applyFill="1" applyBorder="1" applyAlignment="1">
      <alignment vertical="center" wrapText="1"/>
    </xf>
    <xf numFmtId="0" fontId="34" fillId="5" borderId="7" xfId="0" applyFont="1" applyFill="1" applyBorder="1" applyAlignment="1">
      <alignment horizontal="center" vertical="center" wrapText="1"/>
    </xf>
    <xf numFmtId="0" fontId="34" fillId="5" borderId="9" xfId="0" applyFont="1" applyFill="1" applyBorder="1" applyAlignment="1">
      <alignment horizontal="center" vertical="center" wrapText="1"/>
    </xf>
    <xf numFmtId="0" fontId="16" fillId="3" borderId="7" xfId="0" applyFont="1" applyFill="1" applyBorder="1" applyAlignment="1">
      <alignment vertical="center" wrapText="1"/>
    </xf>
    <xf numFmtId="0" fontId="16" fillId="3" borderId="9" xfId="0" applyFont="1" applyFill="1" applyBorder="1" applyAlignment="1">
      <alignment vertical="center" wrapText="1"/>
    </xf>
    <xf numFmtId="0" fontId="16" fillId="2" borderId="7" xfId="0" applyFont="1" applyFill="1" applyBorder="1" applyAlignment="1">
      <alignment vertical="center" wrapText="1"/>
    </xf>
    <xf numFmtId="0" fontId="16" fillId="2" borderId="9" xfId="0" applyFont="1" applyFill="1" applyBorder="1" applyAlignment="1">
      <alignment vertical="center" wrapText="1"/>
    </xf>
    <xf numFmtId="0" fontId="36" fillId="2" borderId="12" xfId="0" applyFont="1" applyFill="1" applyBorder="1" applyAlignment="1">
      <alignment horizontal="center" vertical="center"/>
    </xf>
    <xf numFmtId="0" fontId="36" fillId="2" borderId="0" xfId="0" applyFont="1" applyFill="1" applyAlignment="1">
      <alignment horizontal="center" vertical="center"/>
    </xf>
    <xf numFmtId="0" fontId="15" fillId="14" borderId="7" xfId="0" applyFont="1" applyFill="1" applyBorder="1" applyAlignment="1">
      <alignment vertical="center" wrapText="1"/>
    </xf>
    <xf numFmtId="0" fontId="15" fillId="14" borderId="9" xfId="0" applyFont="1" applyFill="1" applyBorder="1" applyAlignment="1">
      <alignment vertical="center" wrapText="1"/>
    </xf>
    <xf numFmtId="0" fontId="16" fillId="23" borderId="7" xfId="0" applyFont="1" applyFill="1" applyBorder="1" applyAlignment="1">
      <alignment vertical="center" wrapText="1"/>
    </xf>
    <xf numFmtId="0" fontId="16" fillId="23" borderId="9" xfId="0" applyFont="1" applyFill="1" applyBorder="1" applyAlignment="1">
      <alignment vertical="center" wrapText="1"/>
    </xf>
    <xf numFmtId="0" fontId="16" fillId="15" borderId="7" xfId="0" applyFont="1" applyFill="1" applyBorder="1" applyAlignment="1">
      <alignment vertical="center" wrapText="1"/>
    </xf>
    <xf numFmtId="0" fontId="16" fillId="15" borderId="9" xfId="0" applyFont="1" applyFill="1" applyBorder="1" applyAlignment="1">
      <alignment vertical="center" wrapText="1"/>
    </xf>
    <xf numFmtId="0" fontId="31" fillId="14" borderId="7" xfId="0" applyFont="1" applyFill="1" applyBorder="1" applyAlignment="1">
      <alignment vertical="center" wrapText="1"/>
    </xf>
    <xf numFmtId="0" fontId="31" fillId="14" borderId="8" xfId="0" applyFont="1" applyFill="1" applyBorder="1" applyAlignment="1">
      <alignment vertical="center" wrapText="1"/>
    </xf>
    <xf numFmtId="0" fontId="33" fillId="27" borderId="7" xfId="0" applyFont="1" applyFill="1" applyBorder="1" applyAlignment="1">
      <alignment vertical="center" wrapText="1"/>
    </xf>
    <xf numFmtId="0" fontId="33" fillId="27" borderId="9" xfId="0" applyFont="1" applyFill="1" applyBorder="1" applyAlignment="1">
      <alignment vertical="center" wrapText="1"/>
    </xf>
    <xf numFmtId="0" fontId="34" fillId="25" borderId="7" xfId="0" applyFont="1" applyFill="1" applyBorder="1" applyAlignment="1">
      <alignment vertical="center" wrapText="1"/>
    </xf>
    <xf numFmtId="0" fontId="34" fillId="25" borderId="9" xfId="0" applyFont="1" applyFill="1" applyBorder="1" applyAlignment="1">
      <alignment vertical="center" wrapText="1"/>
    </xf>
    <xf numFmtId="0" fontId="33" fillId="24" borderId="7" xfId="0" applyFont="1" applyFill="1" applyBorder="1" applyAlignment="1">
      <alignment vertical="center" wrapText="1"/>
    </xf>
    <xf numFmtId="0" fontId="33" fillId="24" borderId="9" xfId="0" applyFont="1" applyFill="1" applyBorder="1" applyAlignment="1">
      <alignment vertical="center" wrapText="1"/>
    </xf>
    <xf numFmtId="0" fontId="16" fillId="12" borderId="7" xfId="0" applyFont="1" applyFill="1" applyBorder="1" applyAlignment="1">
      <alignment vertical="center" wrapText="1"/>
    </xf>
    <xf numFmtId="0" fontId="16" fillId="12" borderId="8" xfId="0" applyFont="1" applyFill="1" applyBorder="1" applyAlignment="1">
      <alignment vertical="center" wrapText="1"/>
    </xf>
    <xf numFmtId="0" fontId="16" fillId="12" borderId="9" xfId="0" applyFont="1" applyFill="1" applyBorder="1" applyAlignment="1">
      <alignment vertical="center" wrapText="1"/>
    </xf>
    <xf numFmtId="0" fontId="3" fillId="23" borderId="1" xfId="0" applyFont="1" applyFill="1" applyBorder="1" applyAlignment="1" applyProtection="1">
      <alignment vertical="center" wrapText="1"/>
      <protection locked="0"/>
    </xf>
    <xf numFmtId="0" fontId="3" fillId="23" borderId="3" xfId="0" applyFont="1" applyFill="1" applyBorder="1" applyAlignment="1" applyProtection="1">
      <alignment vertical="center" wrapText="1"/>
      <protection locked="0"/>
    </xf>
    <xf numFmtId="0" fontId="16" fillId="15" borderId="8" xfId="0" applyFont="1" applyFill="1" applyBorder="1" applyAlignment="1" applyProtection="1">
      <alignment horizontal="center" vertical="center" wrapText="1"/>
      <protection locked="0"/>
    </xf>
    <xf numFmtId="0" fontId="16" fillId="23" borderId="8" xfId="0" applyFont="1" applyFill="1" applyBorder="1" applyAlignment="1">
      <alignment vertical="center" wrapText="1"/>
    </xf>
    <xf numFmtId="0" fontId="34" fillId="25" borderId="7" xfId="0" applyFont="1" applyFill="1" applyBorder="1" applyAlignment="1">
      <alignment horizontal="center" vertical="center" wrapText="1"/>
    </xf>
    <xf numFmtId="0" fontId="34" fillId="25" borderId="9" xfId="0" applyFont="1" applyFill="1" applyBorder="1" applyAlignment="1">
      <alignment horizontal="center" vertical="center" wrapText="1"/>
    </xf>
    <xf numFmtId="0" fontId="16" fillId="15" borderId="7" xfId="0" applyFont="1" applyFill="1" applyBorder="1" applyAlignment="1">
      <alignment horizontal="center" vertical="center" wrapText="1"/>
    </xf>
    <xf numFmtId="0" fontId="16" fillId="15" borderId="8" xfId="0" applyFont="1" applyFill="1" applyBorder="1" applyAlignment="1">
      <alignment horizontal="center" vertical="center" wrapText="1"/>
    </xf>
    <xf numFmtId="0" fontId="16" fillId="15" borderId="9" xfId="0" applyFont="1" applyFill="1" applyBorder="1" applyAlignment="1">
      <alignment horizontal="center" vertical="center" wrapText="1"/>
    </xf>
    <xf numFmtId="0" fontId="16" fillId="12" borderId="7" xfId="0" applyFont="1" applyFill="1" applyBorder="1" applyAlignment="1">
      <alignment horizontal="center" vertical="center" wrapText="1"/>
    </xf>
    <xf numFmtId="0" fontId="16" fillId="12" borderId="8" xfId="0"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6" fillId="9" borderId="7" xfId="0" applyFont="1" applyFill="1" applyBorder="1" applyAlignment="1">
      <alignment vertical="center" wrapText="1"/>
    </xf>
    <xf numFmtId="0" fontId="16" fillId="9" borderId="8" xfId="0" applyFont="1" applyFill="1" applyBorder="1" applyAlignment="1">
      <alignment vertical="center" wrapText="1"/>
    </xf>
    <xf numFmtId="0" fontId="16" fillId="9" borderId="9" xfId="0" applyFont="1" applyFill="1" applyBorder="1" applyAlignment="1">
      <alignment vertical="center" wrapText="1"/>
    </xf>
    <xf numFmtId="0" fontId="3" fillId="22" borderId="7" xfId="0" applyFont="1" applyFill="1" applyBorder="1" applyAlignment="1">
      <alignment vertical="center" wrapText="1"/>
    </xf>
    <xf numFmtId="0" fontId="3" fillId="22" borderId="8" xfId="0" applyFont="1" applyFill="1" applyBorder="1" applyAlignment="1">
      <alignment vertical="center" wrapText="1"/>
    </xf>
    <xf numFmtId="0" fontId="3" fillId="22" borderId="9" xfId="0" applyFont="1" applyFill="1" applyBorder="1" applyAlignment="1">
      <alignment vertical="center" wrapText="1"/>
    </xf>
    <xf numFmtId="0" fontId="31" fillId="22" borderId="7" xfId="0" applyFont="1" applyFill="1" applyBorder="1" applyAlignment="1">
      <alignment vertical="center" wrapText="1"/>
    </xf>
    <xf numFmtId="0" fontId="31" fillId="22" borderId="9" xfId="0" applyFont="1" applyFill="1" applyBorder="1" applyAlignment="1">
      <alignment vertical="center" wrapText="1"/>
    </xf>
    <xf numFmtId="0" fontId="11" fillId="20" borderId="10" xfId="0" applyFont="1" applyFill="1" applyBorder="1" applyAlignment="1">
      <alignment horizontal="center" vertical="center" wrapText="1"/>
    </xf>
    <xf numFmtId="0" fontId="15" fillId="17" borderId="10" xfId="0" applyFont="1" applyFill="1" applyBorder="1" applyAlignment="1">
      <alignment horizontal="center" vertical="center" wrapText="1"/>
    </xf>
    <xf numFmtId="0" fontId="16" fillId="18" borderId="7" xfId="0" applyFont="1" applyFill="1" applyBorder="1" applyAlignment="1">
      <alignment horizontal="center" vertical="center" wrapText="1"/>
    </xf>
    <xf numFmtId="0" fontId="16" fillId="18" borderId="8" xfId="0" applyFont="1" applyFill="1" applyBorder="1" applyAlignment="1">
      <alignment horizontal="center" vertical="center" wrapText="1"/>
    </xf>
    <xf numFmtId="0" fontId="16" fillId="18" borderId="9" xfId="0" applyFont="1" applyFill="1" applyBorder="1" applyAlignment="1">
      <alignment horizontal="center" vertical="center" wrapText="1"/>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7"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11" borderId="10" xfId="0" applyFill="1" applyBorder="1" applyAlignment="1" applyProtection="1">
      <alignment horizontal="left" vertical="center"/>
      <protection locked="0"/>
    </xf>
  </cellXfs>
  <cellStyles count="250">
    <cellStyle name="20% - Accent4" xfId="246" builtinId="42"/>
    <cellStyle name="40% - Accent1" xfId="245" builtinId="31"/>
    <cellStyle name="40% - Accent4" xfId="247" builtinId="43"/>
    <cellStyle name="40% - Accent5" xfId="248" builtinId="47"/>
    <cellStyle name="Comma 2" xfId="6" xr:uid="{7EFF615B-29D3-42DE-831F-1CD88057042C}"/>
    <cellStyle name="Currency 2" xfId="7" xr:uid="{E86E2A7E-E8C9-4F60-A579-0CCD5D3C8CBB}"/>
    <cellStyle name="Currency 2 10" xfId="10" xr:uid="{C3F58404-C9E7-45C3-BB79-6D2134AA803D}"/>
    <cellStyle name="Currency 2 100" xfId="11" xr:uid="{D5A63B24-458B-4452-A6CA-F1627F7FE2AB}"/>
    <cellStyle name="Currency 2 101" xfId="12" xr:uid="{392759CD-8C83-43FC-9780-CF895A5A2897}"/>
    <cellStyle name="Currency 2 102" xfId="13" xr:uid="{32490225-141B-4859-A008-1B4AAC657C4F}"/>
    <cellStyle name="Currency 2 103" xfId="14" xr:uid="{481C15DE-6737-423D-A5B7-4A67CC9D877F}"/>
    <cellStyle name="Currency 2 104" xfId="15" xr:uid="{43DA3CD6-9864-42C8-913A-7007D6A066A6}"/>
    <cellStyle name="Currency 2 105" xfId="16" xr:uid="{797D631B-18B8-4243-8659-333F2D186FA8}"/>
    <cellStyle name="Currency 2 106" xfId="17" xr:uid="{C3503C01-C94A-416B-BC10-7AAD2219FBD9}"/>
    <cellStyle name="Currency 2 107" xfId="18" xr:uid="{0968905F-B6DF-4AEE-A2A2-8C9D2A4E37FD}"/>
    <cellStyle name="Currency 2 108" xfId="19" xr:uid="{2A42C321-1114-48EA-963E-C05B16CC967F}"/>
    <cellStyle name="Currency 2 109" xfId="20" xr:uid="{D21EF323-2C14-455B-AFB6-C89A46C5C037}"/>
    <cellStyle name="Currency 2 11" xfId="21" xr:uid="{753AB8B2-7228-439F-82A3-F30D10C22613}"/>
    <cellStyle name="Currency 2 110" xfId="22" xr:uid="{9FDA811D-0F50-4CEC-A3A7-9785FE1DF5F5}"/>
    <cellStyle name="Currency 2 111" xfId="23" xr:uid="{D516A5DF-50C7-4618-B7F9-B5739D29F57F}"/>
    <cellStyle name="Currency 2 112" xfId="24" xr:uid="{D30AD8C7-7876-4ADB-B3AA-55BF86C57CE9}"/>
    <cellStyle name="Currency 2 113" xfId="25" xr:uid="{7CDB1D4C-1996-496A-8F6E-9F8541D1CB9B}"/>
    <cellStyle name="Currency 2 114" xfId="26" xr:uid="{1D5029A5-0877-4F2D-AA21-E39D6CCC6BD7}"/>
    <cellStyle name="Currency 2 115" xfId="27" xr:uid="{0BA68BF0-0C0D-4B84-AB48-E807D5D9F8BC}"/>
    <cellStyle name="Currency 2 116" xfId="28" xr:uid="{46D6719A-F816-45F2-A699-9EA626A38787}"/>
    <cellStyle name="Currency 2 117" xfId="29" xr:uid="{14FB468D-6EAC-4992-82B4-7292B38E4C19}"/>
    <cellStyle name="Currency 2 118" xfId="30" xr:uid="{A80C4E95-51FF-4D56-BCE4-053D1BC47E6F}"/>
    <cellStyle name="Currency 2 119" xfId="31" xr:uid="{30C85A67-4386-4A6E-B768-7F140EEC0F44}"/>
    <cellStyle name="Currency 2 12" xfId="32" xr:uid="{5C9B6D82-9D87-4C39-9AFE-5CD7853AE1E2}"/>
    <cellStyle name="Currency 2 120" xfId="33" xr:uid="{0ED5D5FE-25B1-49E1-99AB-CA5D3D695FCC}"/>
    <cellStyle name="Currency 2 121" xfId="34" xr:uid="{FE862B8C-A3CA-4DC8-920A-4B2B830366FE}"/>
    <cellStyle name="Currency 2 122" xfId="35" xr:uid="{24345F2B-633D-4FAE-96CC-C6D16970A448}"/>
    <cellStyle name="Currency 2 123" xfId="36" xr:uid="{85D0F1A7-D007-481F-8307-CFDFD0401668}"/>
    <cellStyle name="Currency 2 124" xfId="37" xr:uid="{AF3A3E4C-03AE-4E57-8CB2-987FE2F1ED10}"/>
    <cellStyle name="Currency 2 125" xfId="38" xr:uid="{9EE89748-084C-4A6D-AEE7-AF1A63631075}"/>
    <cellStyle name="Currency 2 126" xfId="39" xr:uid="{F08BF20C-5850-4469-81A4-A19BBB4B9811}"/>
    <cellStyle name="Currency 2 127" xfId="40" xr:uid="{85A3CD52-6ECD-4013-8241-69AE854F13A9}"/>
    <cellStyle name="Currency 2 128" xfId="41" xr:uid="{EFF09F6E-A5E5-4B11-BD45-2C4F382EA4AD}"/>
    <cellStyle name="Currency 2 13" xfId="42" xr:uid="{60A0F214-2736-4AB8-95E8-6E005BC30D98}"/>
    <cellStyle name="Currency 2 14" xfId="43" xr:uid="{1715884F-7BBA-4529-B13E-2DD74119CDC6}"/>
    <cellStyle name="Currency 2 15" xfId="44" xr:uid="{6380C888-D2E6-431D-91E3-D266E31040DF}"/>
    <cellStyle name="Currency 2 16" xfId="45" xr:uid="{084333F4-7C03-4B6B-B49B-5FE3933DBDEB}"/>
    <cellStyle name="Currency 2 17" xfId="46" xr:uid="{DA329F12-5B27-44C7-83E6-D2302331915E}"/>
    <cellStyle name="Currency 2 18" xfId="47" xr:uid="{2C3CE300-672D-43BB-8D18-2B89D2FCCCF7}"/>
    <cellStyle name="Currency 2 19" xfId="48" xr:uid="{2805DD6F-F6C8-493E-AAB5-9A2C1D65E69B}"/>
    <cellStyle name="Currency 2 2" xfId="49" xr:uid="{841E2E7D-6A5E-4222-8A79-7574D3BE90EC}"/>
    <cellStyle name="Currency 2 20" xfId="50" xr:uid="{2579487C-0F71-4D04-A955-5D6E72E3933F}"/>
    <cellStyle name="Currency 2 21" xfId="51" xr:uid="{752DABC4-C9FD-4815-8897-3858E9695130}"/>
    <cellStyle name="Currency 2 22" xfId="52" xr:uid="{2E0F99E8-9ADC-48B3-A237-25CEB4D76A00}"/>
    <cellStyle name="Currency 2 23" xfId="53" xr:uid="{BD332404-7324-4B22-9BC5-74B99EDC0453}"/>
    <cellStyle name="Currency 2 24" xfId="54" xr:uid="{7E2D45AD-89D1-4FA1-9FFB-B270CAD998B4}"/>
    <cellStyle name="Currency 2 25" xfId="55" xr:uid="{B5F15BD8-6E25-44CF-976B-0DF814295A6B}"/>
    <cellStyle name="Currency 2 26" xfId="56" xr:uid="{D64EA21D-EC95-49D8-8AA0-E103E1DB7819}"/>
    <cellStyle name="Currency 2 27" xfId="57" xr:uid="{03B95B54-3D69-4CA0-8D90-5008496F2A8A}"/>
    <cellStyle name="Currency 2 28" xfId="58" xr:uid="{C5012C2C-6186-490D-B665-C5ED146B1CE3}"/>
    <cellStyle name="Currency 2 29" xfId="59" xr:uid="{7E07879F-3C77-4314-841D-D6F3E96C3C88}"/>
    <cellStyle name="Currency 2 3" xfId="60" xr:uid="{B15BBAAC-D5A1-4B23-990C-57003A742040}"/>
    <cellStyle name="Currency 2 30" xfId="61" xr:uid="{65AAE3D8-A004-4330-B56B-4D83CD4BCE4E}"/>
    <cellStyle name="Currency 2 31" xfId="62" xr:uid="{BD29375A-1D21-4E03-B46C-73F1D8B33662}"/>
    <cellStyle name="Currency 2 32" xfId="63" xr:uid="{0D024BA5-E46C-4606-882E-62C2DE6745FE}"/>
    <cellStyle name="Currency 2 33" xfId="64" xr:uid="{5F182C13-12CF-49BB-B8E6-6B07798CE7AA}"/>
    <cellStyle name="Currency 2 34" xfId="65" xr:uid="{1CA1D3EB-FF92-4158-81FA-308F8533BFA1}"/>
    <cellStyle name="Currency 2 35" xfId="66" xr:uid="{49FE2FCD-90F4-4EB7-8C4A-742892843D2B}"/>
    <cellStyle name="Currency 2 36" xfId="67" xr:uid="{2411F811-8C5A-4CF8-992E-5E60306B4082}"/>
    <cellStyle name="Currency 2 37" xfId="68" xr:uid="{7FE284A6-D65B-4F04-9E49-23643C16B2B4}"/>
    <cellStyle name="Currency 2 38" xfId="69" xr:uid="{02904D95-D64E-4E44-9D0C-BD81034D872D}"/>
    <cellStyle name="Currency 2 39" xfId="70" xr:uid="{ADD80EF9-70E1-47D0-90DA-C7FAEF6C90A3}"/>
    <cellStyle name="Currency 2 4" xfId="71" xr:uid="{2E9A72BD-BF7D-4EBE-9441-393ED177A406}"/>
    <cellStyle name="Currency 2 40" xfId="72" xr:uid="{0BC62279-1987-4FD9-8E98-B6447BE06E19}"/>
    <cellStyle name="Currency 2 41" xfId="73" xr:uid="{9733E453-D93D-434D-87D2-9B0CFFEBBF7D}"/>
    <cellStyle name="Currency 2 42" xfId="74" xr:uid="{775C6F8D-11F0-4E8D-B88A-129332BA39AC}"/>
    <cellStyle name="Currency 2 43" xfId="75" xr:uid="{FEE32878-1427-4678-BC62-3804D1F29FC8}"/>
    <cellStyle name="Currency 2 44" xfId="76" xr:uid="{29CA8D54-76CE-47A4-8A6A-3D4A7D4E73AE}"/>
    <cellStyle name="Currency 2 45" xfId="77" xr:uid="{6A128831-1F82-4E15-81E9-ACA5B5BC5FC8}"/>
    <cellStyle name="Currency 2 46" xfId="78" xr:uid="{36D20490-C7FB-4626-BB9C-7EB14A06D242}"/>
    <cellStyle name="Currency 2 47" xfId="79" xr:uid="{80695172-35B7-4378-9781-3362C748A19F}"/>
    <cellStyle name="Currency 2 48" xfId="80" xr:uid="{A925E03D-318E-4022-94A1-F723690D14AC}"/>
    <cellStyle name="Currency 2 49" xfId="81" xr:uid="{70FD204C-9B6F-47D3-A2C0-A261B9395F74}"/>
    <cellStyle name="Currency 2 5" xfId="82" xr:uid="{33A1A5AB-B941-4111-8824-7C8BA868AC49}"/>
    <cellStyle name="Currency 2 50" xfId="83" xr:uid="{CEC22692-1D6D-430D-8D88-BA61C6EDB2E4}"/>
    <cellStyle name="Currency 2 51" xfId="84" xr:uid="{42132E99-A349-440A-A1AD-208872C58515}"/>
    <cellStyle name="Currency 2 52" xfId="85" xr:uid="{057D8861-F4FE-4B61-B0FF-B335253D0D4B}"/>
    <cellStyle name="Currency 2 53" xfId="86" xr:uid="{7625204D-8D33-4472-B329-7A8753B37BDB}"/>
    <cellStyle name="Currency 2 54" xfId="87" xr:uid="{3E8DEE3E-9E98-4F4C-B3F8-4FD9F585AD49}"/>
    <cellStyle name="Currency 2 55" xfId="88" xr:uid="{FB742750-7758-49CC-8C27-D1B3A6139BD6}"/>
    <cellStyle name="Currency 2 56" xfId="89" xr:uid="{D897AF60-F9E5-43CF-9667-E03B4037D818}"/>
    <cellStyle name="Currency 2 57" xfId="90" xr:uid="{A5E62F61-BEAD-48C5-BAA9-7FD0F3B5713C}"/>
    <cellStyle name="Currency 2 58" xfId="91" xr:uid="{D269F216-CE06-4106-8E44-80E678A9E682}"/>
    <cellStyle name="Currency 2 59" xfId="92" xr:uid="{D2958702-FC7F-49F4-89A1-DF41298848D3}"/>
    <cellStyle name="Currency 2 6" xfId="93" xr:uid="{1BA91582-DBBF-4534-8BF4-7A81D46BE314}"/>
    <cellStyle name="Currency 2 60" xfId="94" xr:uid="{8073D17F-D00D-4353-87BA-CB7482E6C59C}"/>
    <cellStyle name="Currency 2 61" xfId="95" xr:uid="{85E4E19B-1641-49CC-A9B8-3B29092C78B8}"/>
    <cellStyle name="Currency 2 62" xfId="96" xr:uid="{D5F66B4C-5AAB-4C71-A72D-FDB297CB301A}"/>
    <cellStyle name="Currency 2 63" xfId="97" xr:uid="{8E280F22-6B94-4516-9D56-DE70E90BEDA1}"/>
    <cellStyle name="Currency 2 64" xfId="98" xr:uid="{F9A12B15-B186-4E02-AA5B-544A5D05A38E}"/>
    <cellStyle name="Currency 2 65" xfId="99" xr:uid="{8FA2AA58-4968-46CA-8FA2-DAAC94AE2AC2}"/>
    <cellStyle name="Currency 2 66" xfId="100" xr:uid="{87A7861A-BC89-4134-B4E5-C98D3E318ED7}"/>
    <cellStyle name="Currency 2 67" xfId="101" xr:uid="{9E0B8812-CF79-4087-A263-489BAA19790B}"/>
    <cellStyle name="Currency 2 68" xfId="102" xr:uid="{9BFED19D-1895-4CFE-ADB2-4CD1585D8520}"/>
    <cellStyle name="Currency 2 69" xfId="103" xr:uid="{D1029839-2189-443C-AC1E-0055789A10AA}"/>
    <cellStyle name="Currency 2 7" xfId="104" xr:uid="{237A239F-D127-4725-A8CD-4D75CB9517A3}"/>
    <cellStyle name="Currency 2 70" xfId="105" xr:uid="{8BB02C14-CB44-40CE-BEE6-71E56CCBA491}"/>
    <cellStyle name="Currency 2 71" xfId="106" xr:uid="{629A8F66-85C2-4F8D-8DD0-5F38FBB84A45}"/>
    <cellStyle name="Currency 2 72" xfId="107" xr:uid="{A485DB09-03A4-49F6-A018-BDE61304F28C}"/>
    <cellStyle name="Currency 2 73" xfId="108" xr:uid="{DB6F422B-F5DB-40BF-A32D-7F4096CB9217}"/>
    <cellStyle name="Currency 2 74" xfId="109" xr:uid="{5EF4FF88-59FF-4618-8BA6-1D8B8EC4D3A2}"/>
    <cellStyle name="Currency 2 75" xfId="110" xr:uid="{B84E4388-EF32-4F0B-876B-7F1F31926369}"/>
    <cellStyle name="Currency 2 76" xfId="111" xr:uid="{C6DA5305-0842-4BE4-B6D9-1144F0F4C3DC}"/>
    <cellStyle name="Currency 2 77" xfId="112" xr:uid="{BF7D6395-DBF3-493F-96EE-DBDBACDCCFE4}"/>
    <cellStyle name="Currency 2 78" xfId="113" xr:uid="{8943FB9B-6BE3-499F-9EAF-B93190651F63}"/>
    <cellStyle name="Currency 2 79" xfId="114" xr:uid="{93DE764B-E70E-4791-ADAE-D65904DB2EC4}"/>
    <cellStyle name="Currency 2 8" xfId="115" xr:uid="{F3498FC3-4EB3-4D0B-8858-9C3AA7770382}"/>
    <cellStyle name="Currency 2 80" xfId="116" xr:uid="{36A8BE2A-BD22-4543-8D7E-B01495A1ED66}"/>
    <cellStyle name="Currency 2 81" xfId="117" xr:uid="{5EAB1B27-07AF-4898-B03F-5C040C774C35}"/>
    <cellStyle name="Currency 2 82" xfId="118" xr:uid="{B384FE05-A25B-4D90-A2FD-2B449CD88290}"/>
    <cellStyle name="Currency 2 83" xfId="119" xr:uid="{3234BFBC-CA51-49C3-8994-6B639ED17710}"/>
    <cellStyle name="Currency 2 84" xfId="120" xr:uid="{1D11D790-F57C-4764-AA72-167158DBE68B}"/>
    <cellStyle name="Currency 2 85" xfId="121" xr:uid="{E9C19EEB-4783-46AE-A166-2D2CCD9F8C94}"/>
    <cellStyle name="Currency 2 86" xfId="122" xr:uid="{5261A87B-E2EB-4265-AF16-EE0A52475F1C}"/>
    <cellStyle name="Currency 2 87" xfId="123" xr:uid="{C7113020-B849-4B9C-8DBB-09C4FF9831DB}"/>
    <cellStyle name="Currency 2 88" xfId="124" xr:uid="{34AEA417-2036-4489-8089-04F0542ED118}"/>
    <cellStyle name="Currency 2 89" xfId="125" xr:uid="{ACF1FFB1-4229-4F3D-B305-318D5DE35542}"/>
    <cellStyle name="Currency 2 9" xfId="126" xr:uid="{F95B6E4C-F0F3-482A-8E2B-3FBBE7C6B5F7}"/>
    <cellStyle name="Currency 2 90" xfId="127" xr:uid="{74F0C286-ACFB-4360-9E21-867329C5F3A8}"/>
    <cellStyle name="Currency 2 91" xfId="128" xr:uid="{CFD935CC-2784-4693-A386-946128B7811F}"/>
    <cellStyle name="Currency 2 92" xfId="129" xr:uid="{415BDE27-E426-4370-BCB7-72F52F9B6087}"/>
    <cellStyle name="Currency 2 93" xfId="130" xr:uid="{B5B12D07-3A6A-44EB-A971-581BB195CB89}"/>
    <cellStyle name="Currency 2 94" xfId="131" xr:uid="{A38CB7B7-A752-40E1-BF0B-B607F06D9348}"/>
    <cellStyle name="Currency 2 95" xfId="132" xr:uid="{41973C65-F613-47A3-BBF1-E801F574EF06}"/>
    <cellStyle name="Currency 2 96" xfId="133" xr:uid="{BD01551D-DEEC-46A5-B11F-4EAD33D81741}"/>
    <cellStyle name="Currency 2 97" xfId="134" xr:uid="{5E55D020-D43C-4098-9376-60794F49650E}"/>
    <cellStyle name="Currency 2 98" xfId="135" xr:uid="{72BC95A8-F57F-4A0C-AB2B-C1554D039A49}"/>
    <cellStyle name="Currency 2 99" xfId="136" xr:uid="{6ECBDE95-5338-4B14-8143-CFF0181E89AC}"/>
    <cellStyle name="Currency 3" xfId="162" xr:uid="{68AC7BE5-B47E-4A3F-8D9F-710F9A2CEFE4}"/>
    <cellStyle name="Currency 4" xfId="163" xr:uid="{B0F6AA50-8BC5-4608-AB38-0A36D890F90E}"/>
    <cellStyle name="Currency 4 2" xfId="175" xr:uid="{CFB8485C-1591-45A7-8B68-FEEC89E57458}"/>
    <cellStyle name="Currency 4 2 2" xfId="208" xr:uid="{C10C155D-8EA7-458A-95A1-DCBBE5CF9008}"/>
    <cellStyle name="Currency 4 2 3" xfId="241" xr:uid="{3509C954-3378-49FC-BDB6-7E3F415120D1}"/>
    <cellStyle name="Currency 4 3" xfId="196" xr:uid="{924A92D8-2C76-4F28-8DE6-FCC019C2B100}"/>
    <cellStyle name="Currency 4 4" xfId="229" xr:uid="{657E4A63-5646-4164-9E2A-B54B787ED520}"/>
    <cellStyle name="Excel Built-in Currency" xfId="137" xr:uid="{3B4F34B3-86FD-4C9E-9237-7982ACEE689B}"/>
    <cellStyle name="Excel Built-in Normal" xfId="3" xr:uid="{6CFDDEF2-0731-4B93-B999-C8A3005C60D6}"/>
    <cellStyle name="Excel Built-in Percent" xfId="138" xr:uid="{17B6F01E-DA5D-4838-82CD-B4E9C64731FD}"/>
    <cellStyle name="Hyperlink" xfId="249" builtinId="8"/>
    <cellStyle name="Hyperlink 2" xfId="8" xr:uid="{E547806A-72A9-434F-B310-3F2FC1FDAC21}"/>
    <cellStyle name="Hyperlink 2 2" xfId="244" xr:uid="{C468A4D4-673A-4C0A-B44C-0CD86DAC1CB8}"/>
    <cellStyle name="Hyperlink 3" xfId="9" xr:uid="{6B6F2CD4-1C33-42BE-B064-FDC65060A835}"/>
    <cellStyle name="Hyperlink 4" xfId="1" xr:uid="{19C8B53D-9A28-4D61-9645-DF12CF66C17B}"/>
    <cellStyle name="Normal" xfId="0" builtinId="0"/>
    <cellStyle name="Normal 2" xfId="4" xr:uid="{820B30CF-9C91-4FCB-B078-885D970B6E79}"/>
    <cellStyle name="Normal 3" xfId="5" xr:uid="{814E6012-A8B5-4855-B245-E1EF19B32F5E}"/>
    <cellStyle name="Normal 4" xfId="140" xr:uid="{50652C25-072E-4713-8CFE-7735A596399E}"/>
    <cellStyle name="Normal 4 10" xfId="153" xr:uid="{39F4D355-981C-4C8D-B66D-7E76A85D7C88}"/>
    <cellStyle name="Normal 4 10 2" xfId="166" xr:uid="{9E6ED3FB-56C8-43CF-A3B9-0F575E69FF5E}"/>
    <cellStyle name="Normal 4 10 2 2" xfId="199" xr:uid="{8898F4E5-2D88-46C6-8E93-BD422A998172}"/>
    <cellStyle name="Normal 4 10 2 3" xfId="232" xr:uid="{40B6565D-FA63-4D35-872D-30059B00F762}"/>
    <cellStyle name="Normal 4 10 3" xfId="187" xr:uid="{C7A063EE-BC39-4BD8-80C1-31BBCDD8B4D4}"/>
    <cellStyle name="Normal 4 10 4" xfId="220" xr:uid="{264EECBE-90BF-469F-8700-B5E055FF215F}"/>
    <cellStyle name="Normal 4 11" xfId="149" xr:uid="{F8F06537-8792-4682-83FB-5463C5946BF3}"/>
    <cellStyle name="Normal 4 11 2" xfId="185" xr:uid="{DDD02A18-CFC7-459A-A555-A5C7A965B632}"/>
    <cellStyle name="Normal 4 11 3" xfId="218" xr:uid="{6547217F-B650-4493-9E2A-6D1ED96AB26D}"/>
    <cellStyle name="Normal 4 12" xfId="164" xr:uid="{DF4FDDB2-4C2E-4C9A-8C00-2B80A5C47AEB}"/>
    <cellStyle name="Normal 4 12 2" xfId="197" xr:uid="{776FAE07-4E93-4A49-9C5C-4552AA9F29D1}"/>
    <cellStyle name="Normal 4 12 3" xfId="230" xr:uid="{0E0AFC33-A804-4682-9B6B-026420F16BB9}"/>
    <cellStyle name="Normal 4 13" xfId="176" xr:uid="{17EFF9B2-F52D-4AAA-A568-E65C1A0AE91D}"/>
    <cellStyle name="Normal 4 14" xfId="209" xr:uid="{289BBA71-9539-4A67-8113-16B672729171}"/>
    <cellStyle name="Normal 4 2" xfId="141" xr:uid="{0760F311-142C-4962-8220-607BAE5518C8}"/>
    <cellStyle name="Normal 4 2 2" xfId="154" xr:uid="{2E1E8630-6435-4296-91BE-729A59671BB0}"/>
    <cellStyle name="Normal 4 2 2 2" xfId="188" xr:uid="{6764F066-ED90-4A96-BA95-7EBFEC03F47B}"/>
    <cellStyle name="Normal 4 2 2 3" xfId="221" xr:uid="{58759716-343A-4E7C-A3E7-8CFD0DD85FFC}"/>
    <cellStyle name="Normal 4 2 3" xfId="167" xr:uid="{66DB6B5E-54DA-480D-B377-E00BB8052E9C}"/>
    <cellStyle name="Normal 4 2 3 2" xfId="200" xr:uid="{68895EFD-6BB3-4790-9AF9-8C4F48AFC36A}"/>
    <cellStyle name="Normal 4 2 3 3" xfId="233" xr:uid="{534A9086-603A-46F0-B477-EB19802E48EA}"/>
    <cellStyle name="Normal 4 2 4" xfId="177" xr:uid="{D011853F-A304-409A-B7A6-364568DE7BF8}"/>
    <cellStyle name="Normal 4 2 5" xfId="210" xr:uid="{776C2FCA-0C9A-42F0-9862-D511360FA648}"/>
    <cellStyle name="Normal 4 3" xfId="142" xr:uid="{14A64510-D588-4200-B0A3-4F73B793E55E}"/>
    <cellStyle name="Normal 4 3 2" xfId="155" xr:uid="{D251D518-518E-498D-A6E4-FA04995BC7BB}"/>
    <cellStyle name="Normal 4 3 2 2" xfId="189" xr:uid="{4B921A5D-9C04-4337-9AD5-94BDA6855707}"/>
    <cellStyle name="Normal 4 3 2 3" xfId="222" xr:uid="{1D99D5A2-26F3-45A6-8A57-F02ED6EF1C0C}"/>
    <cellStyle name="Normal 4 3 3" xfId="168" xr:uid="{7BE1246A-8ECE-481F-A4BF-3CFB55FA15E6}"/>
    <cellStyle name="Normal 4 3 3 2" xfId="201" xr:uid="{2222FE30-1D42-4F18-8A4E-97ED33CA4F04}"/>
    <cellStyle name="Normal 4 3 3 3" xfId="234" xr:uid="{B1A4F229-AD59-466C-B5D1-49E4F92C6EFF}"/>
    <cellStyle name="Normal 4 3 4" xfId="178" xr:uid="{F231AEBD-4F4A-43DF-961C-1AEDE59FD988}"/>
    <cellStyle name="Normal 4 3 5" xfId="211" xr:uid="{D3D18E4E-5CFA-4492-B0D8-285F16FDE704}"/>
    <cellStyle name="Normal 4 4" xfId="143" xr:uid="{872AE614-D014-4973-B8B4-5F99CEF27AED}"/>
    <cellStyle name="Normal 4 4 2" xfId="156" xr:uid="{DF3D67AA-3D9C-46AD-A865-BF61A5F0575D}"/>
    <cellStyle name="Normal 4 4 2 2" xfId="190" xr:uid="{92BD2DCD-C9F6-45E5-AE9A-B82F6C06BDF3}"/>
    <cellStyle name="Normal 4 4 2 3" xfId="223" xr:uid="{775C632F-00DB-4996-8D48-D5B42910A3D5}"/>
    <cellStyle name="Normal 4 4 3" xfId="169" xr:uid="{1670BBA1-C2F4-44F7-BB44-E779CEFF0B56}"/>
    <cellStyle name="Normal 4 4 3 2" xfId="202" xr:uid="{BC8C6A96-04E0-4975-A308-450C3B6F1979}"/>
    <cellStyle name="Normal 4 4 3 3" xfId="235" xr:uid="{F880AE3A-8864-4DCC-8C75-39B49467C749}"/>
    <cellStyle name="Normal 4 4 4" xfId="179" xr:uid="{E93A92F3-1470-4F46-809D-122860C68EEE}"/>
    <cellStyle name="Normal 4 4 5" xfId="212" xr:uid="{A1C284FB-9F37-489A-81D0-682552153DF1}"/>
    <cellStyle name="Normal 4 5" xfId="144" xr:uid="{969DD9A8-6D23-4686-A117-408CFA36973F}"/>
    <cellStyle name="Normal 4 5 2" xfId="157" xr:uid="{80390A91-C46C-41D0-AE30-2EAE00C604C7}"/>
    <cellStyle name="Normal 4 5 2 2" xfId="191" xr:uid="{7FDD2EB7-B441-445A-AF1C-81AB1BD8CD78}"/>
    <cellStyle name="Normal 4 5 2 3" xfId="224" xr:uid="{CD3AEC63-82B6-4C98-9375-B3BC026E4C0A}"/>
    <cellStyle name="Normal 4 5 3" xfId="170" xr:uid="{D622A328-EF36-4399-874E-EC06C5966C9B}"/>
    <cellStyle name="Normal 4 5 3 2" xfId="203" xr:uid="{801247DD-F56F-4E74-92BD-6B92F6EB0BD3}"/>
    <cellStyle name="Normal 4 5 3 3" xfId="236" xr:uid="{DFD22D2C-C115-4D84-9D15-76791AF4567B}"/>
    <cellStyle name="Normal 4 5 4" xfId="180" xr:uid="{CFBEB340-2438-4DDA-A5F3-FC1AB39EB13B}"/>
    <cellStyle name="Normal 4 5 5" xfId="213" xr:uid="{0D6A55E1-01EA-49D6-8567-9F04AAEE6BE6}"/>
    <cellStyle name="Normal 4 6" xfId="145" xr:uid="{E11B23BF-8EB8-4B46-A8E5-1A3E20B1F88C}"/>
    <cellStyle name="Normal 4 6 2" xfId="158" xr:uid="{77643533-96B5-4536-8171-14F05040E6C0}"/>
    <cellStyle name="Normal 4 6 2 2" xfId="192" xr:uid="{0740B3B5-BEB7-4FC8-A991-DBB34F7F24D8}"/>
    <cellStyle name="Normal 4 6 2 3" xfId="225" xr:uid="{5A927C61-426D-4C45-9C62-B78C5C86A69F}"/>
    <cellStyle name="Normal 4 6 3" xfId="171" xr:uid="{7F02A003-1F94-4CF9-8AD6-BBB9FDCA2F71}"/>
    <cellStyle name="Normal 4 6 3 2" xfId="204" xr:uid="{20A5AC87-57C3-463F-BD0D-6D6CECB8348C}"/>
    <cellStyle name="Normal 4 6 3 3" xfId="237" xr:uid="{0B37001D-3BFB-4CCA-B3C9-93D04C4485D4}"/>
    <cellStyle name="Normal 4 6 4" xfId="181" xr:uid="{AA5F6984-F601-4D61-9E4B-19A37C71D0C4}"/>
    <cellStyle name="Normal 4 6 5" xfId="214" xr:uid="{EF365BA6-202D-47FA-BC5F-224095E4593C}"/>
    <cellStyle name="Normal 4 7" xfId="146" xr:uid="{EDB4CA9F-C570-4050-A868-EC3834E55C0C}"/>
    <cellStyle name="Normal 4 7 2" xfId="159" xr:uid="{AD46913A-8C03-4D7A-991A-B8DA190750DC}"/>
    <cellStyle name="Normal 4 7 2 2" xfId="193" xr:uid="{3A9F3F51-ECD0-42AF-897A-0188D7BDF8F5}"/>
    <cellStyle name="Normal 4 7 2 3" xfId="226" xr:uid="{9FB5786E-3E5C-4D18-90DF-7CE8E0767637}"/>
    <cellStyle name="Normal 4 7 3" xfId="172" xr:uid="{71BB2AA7-3F10-4E0D-B998-B6082FD9548E}"/>
    <cellStyle name="Normal 4 7 3 2" xfId="205" xr:uid="{EE9E1D12-8A4A-465E-8672-D4250844F9B0}"/>
    <cellStyle name="Normal 4 7 3 3" xfId="238" xr:uid="{4DA03A99-18A9-4897-A8A4-C5CCA795D578}"/>
    <cellStyle name="Normal 4 7 4" xfId="182" xr:uid="{CEAABFDD-404B-4E1F-9359-5D7A5D4EEC58}"/>
    <cellStyle name="Normal 4 7 5" xfId="215" xr:uid="{0D6515B4-BFA4-4A6C-9ECB-0DB294F9420B}"/>
    <cellStyle name="Normal 4 8" xfId="147" xr:uid="{1D29FB8F-55BE-409B-B558-E5046951CB35}"/>
    <cellStyle name="Normal 4 8 2" xfId="160" xr:uid="{D358E22A-699A-4D69-BD2C-BD2E90B3F44C}"/>
    <cellStyle name="Normal 4 8 2 2" xfId="194" xr:uid="{6848E76A-7896-46CC-9A68-DB08B813D0A8}"/>
    <cellStyle name="Normal 4 8 2 3" xfId="227" xr:uid="{DF3CC144-B86C-4353-96E4-941D641D23E3}"/>
    <cellStyle name="Normal 4 8 3" xfId="173" xr:uid="{9E9B5CCB-1B93-4587-A68C-6C5DB1288EFE}"/>
    <cellStyle name="Normal 4 8 3 2" xfId="206" xr:uid="{9987CAE8-ACEC-4FFE-ABA3-A93BC7046A3B}"/>
    <cellStyle name="Normal 4 8 3 3" xfId="239" xr:uid="{EF6B8B6B-4195-428B-9FE8-00526DE8637D}"/>
    <cellStyle name="Normal 4 8 4" xfId="183" xr:uid="{E44A2087-DA08-46DB-8B29-CD01D403027D}"/>
    <cellStyle name="Normal 4 8 5" xfId="216" xr:uid="{760BBF1F-E458-4FE2-8BBA-1703348B2C9D}"/>
    <cellStyle name="Normal 4 9" xfId="148" xr:uid="{7C8C3DD1-1432-429B-B354-6B7B22D633FE}"/>
    <cellStyle name="Normal 4 9 2" xfId="161" xr:uid="{DDE9D3C7-383E-488B-8352-E41092476078}"/>
    <cellStyle name="Normal 4 9 2 2" xfId="195" xr:uid="{3B9CA1ED-A367-443D-ACF2-4F92F79509D1}"/>
    <cellStyle name="Normal 4 9 2 3" xfId="228" xr:uid="{8B7FEF21-F8C8-4182-B708-507E2975F99C}"/>
    <cellStyle name="Normal 4 9 3" xfId="174" xr:uid="{2BC3BB51-59CF-4809-8CEE-8A718B9ED2C8}"/>
    <cellStyle name="Normal 4 9 3 2" xfId="207" xr:uid="{F98B2AC3-ED3B-4FE5-B825-EE2CC4CBDBD4}"/>
    <cellStyle name="Normal 4 9 3 3" xfId="240" xr:uid="{59B9BEE2-6E32-48CA-9492-0B68015854CF}"/>
    <cellStyle name="Normal 4 9 4" xfId="184" xr:uid="{134862FE-88B5-4A87-829A-34819092A32D}"/>
    <cellStyle name="Normal 4 9 5" xfId="217" xr:uid="{3365DE39-B8CF-42B9-9D59-8DC2F77C2348}"/>
    <cellStyle name="Normal 5" xfId="151" xr:uid="{58CFF0B8-CDDA-4C4B-A3EF-0BF5A15E3FDB}"/>
    <cellStyle name="Normal 6" xfId="150" xr:uid="{98AA64E9-1FED-4600-B293-F5FAA371D2DD}"/>
    <cellStyle name="Normal 6 2" xfId="165" xr:uid="{3051D99D-91DB-4E44-87FC-4AE95975277D}"/>
    <cellStyle name="Normal 6 2 2" xfId="198" xr:uid="{54136F35-C624-4317-A5BD-5D3F2B64B615}"/>
    <cellStyle name="Normal 6 2 3" xfId="231" xr:uid="{7A194D6C-586D-4920-950A-E98DAFD83E94}"/>
    <cellStyle name="Normal 6 3" xfId="186" xr:uid="{B8985246-244E-42D7-A993-90DAFFDB1C43}"/>
    <cellStyle name="Normal 6 4" xfId="219" xr:uid="{2B3A9D39-7961-4F8E-9BA3-6A24821E35AE}"/>
    <cellStyle name="Normal 7" xfId="2" xr:uid="{96330ECB-4CCB-4B20-A7EE-FFA3C6ACE90C}"/>
    <cellStyle name="Normal 7 2" xfId="242" xr:uid="{A659070E-6C2C-4A03-B98C-8B092934FDD8}"/>
    <cellStyle name="Percent 2" xfId="152" xr:uid="{0F93DFD2-1E6C-4429-B217-459D9D067016}"/>
    <cellStyle name="Percent 3" xfId="139" xr:uid="{12785B8D-C53B-43FA-A5F7-6FA000E7B5B2}"/>
    <cellStyle name="Percent 3 2" xfId="243" xr:uid="{0316D921-1D35-4086-B936-05F20A20ED4B}"/>
  </cellStyles>
  <dxfs count="37">
    <dxf>
      <fill>
        <gradientFill type="path" left="0.5" right="0.5" top="0.5" bottom="0.5">
          <stop position="0">
            <color theme="0"/>
          </stop>
          <stop position="1">
            <color theme="9" tint="0.40000610370189521"/>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40000610370189521"/>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40000610370189521"/>
          </stop>
        </gradientFill>
      </fill>
    </dxf>
    <dxf>
      <fill>
        <gradientFill type="path" left="0.5" right="0.5" top="0.5" bottom="0.5">
          <stop position="0">
            <color theme="0"/>
          </stop>
          <stop position="1">
            <color theme="7" tint="0.40000610370189521"/>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59999389629810485"/>
          </stop>
        </gradientFill>
      </fill>
    </dxf>
    <dxf>
      <fill>
        <gradientFill type="path" left="0.5" right="0.5" top="0.5" bottom="0.5">
          <stop position="0">
            <color theme="0"/>
          </stop>
          <stop position="1">
            <color theme="7" tint="0.40000610370189521"/>
          </stop>
        </gradient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gradientFill type="path" left="0.5" right="0.5" top="0.5" bottom="0.5">
          <stop position="0">
            <color theme="0"/>
          </stop>
          <stop position="1">
            <color rgb="FFFFB3B3"/>
          </stop>
        </gradient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gradientFill type="path" left="0.5" right="0.5" top="0.5" bottom="0.5">
          <stop position="0">
            <color theme="0"/>
          </stop>
          <stop position="1">
            <color theme="7" tint="0.40000610370189521"/>
          </stop>
        </gradientFill>
      </fill>
    </dxf>
    <dxf>
      <fill>
        <gradientFill type="path" left="0.5" right="0.5" top="0.5" bottom="0.5">
          <stop position="0">
            <color theme="0"/>
          </stop>
          <stop position="1">
            <color rgb="FFFFCC29"/>
          </stop>
        </gradientFill>
      </fill>
    </dxf>
    <dxf>
      <fill>
        <patternFill patternType="none"/>
      </fill>
    </dxf>
    <dxf>
      <fill>
        <patternFill patternType="none"/>
      </fill>
    </dxf>
  </dxfs>
  <tableStyles count="0" defaultTableStyle="TableStyleMedium2" defaultPivotStyle="PivotStyleLight16"/>
  <colors>
    <mruColors>
      <color rgb="FFE1CCF0"/>
      <color rgb="FF632B8D"/>
      <color rgb="FF833C0C"/>
      <color rgb="FFCFAFE7"/>
      <color rgb="FF483500"/>
      <color rgb="FF1B0D03"/>
      <color rgb="FFFF8B8B"/>
      <color rgb="FFFFFF85"/>
      <color rgb="FFA4D76B"/>
      <color rgb="FFFF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e027313\Desktop\SOR\SOR%20Program%20Reports%20FY2024\Renee\SOR%20Quick%20Respose%20Team-2025%20report%20form.xlsx" TargetMode="External"/><Relationship Id="rId1" Type="http://schemas.openxmlformats.org/officeDocument/2006/relationships/externalLinkPath" Target="/Users/e027313/Desktop/SOR/SOR%20Program%20Reports%20FY2024/Renee/SOR%20Quick%20Respose%20Team-2025%20repor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E GRANTEE INFO &amp; UPDATE"/>
      <sheetName val="Client Tally"/>
      <sheetName val="PRSS if needed"/>
      <sheetName val="CONSUMER FEEDBACK "/>
      <sheetName val="SUMMARY"/>
      <sheetName val="Pick List "/>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B4544-39E5-4AB4-B1DE-53BDD413701D}">
  <sheetPr>
    <tabColor rgb="FFFFFF00"/>
  </sheetPr>
  <dimension ref="A1:R67"/>
  <sheetViews>
    <sheetView topLeftCell="A7" workbookViewId="0">
      <selection activeCell="A29" sqref="A29:R52"/>
    </sheetView>
  </sheetViews>
  <sheetFormatPr defaultRowHeight="15" x14ac:dyDescent="0.25"/>
  <sheetData>
    <row r="1" spans="1:18" ht="15.75" x14ac:dyDescent="0.25">
      <c r="A1" s="871" t="str">
        <f>'BASE GRANTEE INFO &amp; UPDATES'!A1</f>
        <v>WV Bureau for Behavioral Health and Health Facilities -Community Anti-Drug Coalitions of America and Teen Court</v>
      </c>
      <c r="B1" s="872"/>
      <c r="C1" s="872"/>
      <c r="D1" s="872"/>
      <c r="E1" s="872"/>
      <c r="F1" s="872"/>
      <c r="G1" s="872"/>
      <c r="H1" s="872"/>
      <c r="I1" s="872"/>
      <c r="J1" s="872"/>
      <c r="K1" s="872"/>
      <c r="L1" s="872"/>
      <c r="M1" s="872"/>
      <c r="N1" s="872"/>
      <c r="O1" s="872"/>
      <c r="P1" s="872"/>
      <c r="Q1" s="872"/>
      <c r="R1" s="873"/>
    </row>
    <row r="2" spans="1:18" ht="15.75" x14ac:dyDescent="0.25">
      <c r="A2" s="871" t="str">
        <f>'BASE GRANTEE INFO &amp; UPDATES'!A2</f>
        <v>FISCAL YEAR: 2025 (09/30/2024 - 09/29/2025)</v>
      </c>
      <c r="B2" s="872"/>
      <c r="C2" s="872"/>
      <c r="D2" s="872"/>
      <c r="E2" s="872"/>
      <c r="F2" s="872"/>
      <c r="G2" s="872"/>
      <c r="H2" s="872"/>
      <c r="I2" s="872"/>
      <c r="J2" s="872"/>
      <c r="K2" s="872"/>
      <c r="L2" s="872"/>
      <c r="M2" s="872"/>
      <c r="N2" s="872"/>
      <c r="O2" s="872"/>
      <c r="P2" s="872"/>
      <c r="Q2" s="872"/>
      <c r="R2" s="873"/>
    </row>
    <row r="3" spans="1:18" ht="15.75" x14ac:dyDescent="0.25">
      <c r="A3" s="874" t="str">
        <f>'BASE GRANTEE INFO &amp; UPDATES'!A3</f>
        <v xml:space="preserve">Program reports need to be submitted electronically, via e-mail to BBHReporting@wv.gov  within 25 calendar days of the end of each month </v>
      </c>
      <c r="B3" s="875"/>
      <c r="C3" s="875"/>
      <c r="D3" s="875"/>
      <c r="E3" s="875"/>
      <c r="F3" s="875"/>
      <c r="G3" s="875"/>
      <c r="H3" s="875"/>
      <c r="I3" s="875"/>
      <c r="J3" s="875"/>
      <c r="K3" s="875"/>
      <c r="L3" s="875"/>
      <c r="M3" s="875"/>
      <c r="N3" s="875"/>
      <c r="O3" s="875"/>
      <c r="P3" s="875"/>
      <c r="Q3" s="875"/>
      <c r="R3" s="876"/>
    </row>
    <row r="4" spans="1:18" x14ac:dyDescent="0.25">
      <c r="A4" s="877"/>
      <c r="B4" s="877"/>
      <c r="C4" s="877"/>
      <c r="D4" s="877"/>
      <c r="E4" s="877"/>
      <c r="F4" s="877"/>
      <c r="G4" s="877"/>
      <c r="H4" s="877"/>
      <c r="I4" s="877"/>
      <c r="J4" s="877"/>
      <c r="K4" s="877"/>
      <c r="L4" s="877"/>
      <c r="M4" s="877"/>
      <c r="N4" s="877"/>
      <c r="O4" s="877"/>
      <c r="P4" s="877"/>
      <c r="Q4" s="877"/>
      <c r="R4" s="877"/>
    </row>
    <row r="5" spans="1:18" ht="24.95" customHeight="1" x14ac:dyDescent="0.25">
      <c r="A5" s="862" t="s">
        <v>0</v>
      </c>
      <c r="B5" s="862"/>
      <c r="C5" s="862"/>
      <c r="D5" s="862"/>
      <c r="E5" s="878" t="str">
        <f>'BASE GRANTEE INFO &amp; UPDATES'!E5</f>
        <v xml:space="preserve">Community Anti-Drug Coalitions of America (CADCA) and Teen Court </v>
      </c>
      <c r="F5" s="878"/>
      <c r="G5" s="878"/>
      <c r="H5" s="878"/>
      <c r="I5" s="864" t="s">
        <v>1</v>
      </c>
      <c r="J5" s="864"/>
      <c r="K5" s="864"/>
      <c r="L5" s="864"/>
      <c r="M5" s="865">
        <f>'BASE GRANTEE INFO &amp; UPDATES'!M5</f>
        <v>0</v>
      </c>
      <c r="N5" s="866"/>
      <c r="O5" s="866"/>
      <c r="P5" s="866"/>
      <c r="Q5" s="866"/>
      <c r="R5" s="867"/>
    </row>
    <row r="6" spans="1:18" ht="24.95" customHeight="1" x14ac:dyDescent="0.25">
      <c r="A6" s="862" t="s">
        <v>2</v>
      </c>
      <c r="B6" s="862"/>
      <c r="C6" s="862"/>
      <c r="D6" s="862"/>
      <c r="E6" s="863" t="str">
        <f>'BASE GRANTEE INFO &amp; UPDATES'!E6</f>
        <v>CADCA In Action and Teen Court</v>
      </c>
      <c r="F6" s="863"/>
      <c r="G6" s="863"/>
      <c r="H6" s="863"/>
      <c r="I6" s="864" t="s">
        <v>3</v>
      </c>
      <c r="J6" s="864"/>
      <c r="K6" s="864"/>
      <c r="L6" s="864"/>
      <c r="M6" s="865">
        <f>'BASE GRANTEE INFO &amp; UPDATES'!M6</f>
        <v>0</v>
      </c>
      <c r="N6" s="866"/>
      <c r="O6" s="866"/>
      <c r="P6" s="866"/>
      <c r="Q6" s="866"/>
      <c r="R6" s="867"/>
    </row>
    <row r="7" spans="1:18" ht="24.95" customHeight="1" x14ac:dyDescent="0.25">
      <c r="A7" s="868" t="s">
        <v>4</v>
      </c>
      <c r="B7" s="868"/>
      <c r="C7" s="868"/>
      <c r="D7" s="868"/>
      <c r="E7" s="869">
        <f>'BASE GRANTEE INFO &amp; UPDATES'!E7</f>
        <v>0</v>
      </c>
      <c r="F7" s="869"/>
      <c r="G7" s="869"/>
      <c r="H7" s="869"/>
      <c r="I7" s="864" t="s">
        <v>374</v>
      </c>
      <c r="J7" s="864"/>
      <c r="K7" s="864"/>
      <c r="L7" s="864"/>
      <c r="M7" s="865">
        <f>'BASE GRANTEE INFO &amp; UPDATES'!M7</f>
        <v>0</v>
      </c>
      <c r="N7" s="866"/>
      <c r="O7" s="866"/>
      <c r="P7" s="866"/>
      <c r="Q7" s="866"/>
      <c r="R7" s="867"/>
    </row>
    <row r="8" spans="1:18" ht="24.95" customHeight="1" x14ac:dyDescent="0.25">
      <c r="A8" s="868"/>
      <c r="B8" s="868"/>
      <c r="C8" s="868"/>
      <c r="D8" s="868"/>
      <c r="E8" s="869"/>
      <c r="F8" s="869"/>
      <c r="G8" s="869"/>
      <c r="H8" s="869"/>
      <c r="I8" s="870" t="s">
        <v>6</v>
      </c>
      <c r="J8" s="870"/>
      <c r="K8" s="870"/>
      <c r="L8" s="870"/>
      <c r="M8" s="865">
        <f>'BASE GRANTEE INFO &amp; UPDATES'!M8</f>
        <v>0</v>
      </c>
      <c r="N8" s="866"/>
      <c r="O8" s="866"/>
      <c r="P8" s="866"/>
      <c r="Q8" s="866"/>
      <c r="R8" s="867"/>
    </row>
    <row r="9" spans="1:18" ht="24.95" customHeight="1" x14ac:dyDescent="0.25">
      <c r="A9" s="862" t="s">
        <v>7</v>
      </c>
      <c r="B9" s="862"/>
      <c r="C9" s="862"/>
      <c r="D9" s="862"/>
      <c r="E9" s="879" t="str">
        <f>'BASE GRANTEE INFO &amp; UPDATES'!E9</f>
        <v>September 1 - 30</v>
      </c>
      <c r="F9" s="879"/>
      <c r="G9" s="879"/>
      <c r="H9" s="1">
        <f>'BASE GRANTEE INFO &amp; UPDATES'!G9</f>
        <v>2024</v>
      </c>
      <c r="I9" s="870" t="s">
        <v>8</v>
      </c>
      <c r="J9" s="870"/>
      <c r="K9" s="870"/>
      <c r="L9" s="870"/>
      <c r="M9" s="865">
        <f>'BASE GRANTEE INFO &amp; UPDATES'!M9</f>
        <v>0</v>
      </c>
      <c r="N9" s="866"/>
      <c r="O9" s="866"/>
      <c r="P9" s="866"/>
      <c r="Q9" s="866"/>
      <c r="R9" s="867"/>
    </row>
    <row r="10" spans="1:18" ht="26.25" x14ac:dyDescent="0.25">
      <c r="A10" s="858" t="s">
        <v>680</v>
      </c>
      <c r="B10" s="858"/>
      <c r="C10" s="858"/>
      <c r="D10" s="858"/>
      <c r="E10" s="858"/>
      <c r="F10" s="858"/>
      <c r="G10" s="858"/>
      <c r="H10" s="858"/>
      <c r="I10" s="858"/>
      <c r="J10" s="858"/>
      <c r="K10" s="858"/>
      <c r="L10" s="858"/>
      <c r="M10" s="858"/>
      <c r="N10" s="858"/>
      <c r="O10" s="858"/>
      <c r="P10" s="858"/>
      <c r="Q10" s="858"/>
      <c r="R10" s="858"/>
    </row>
    <row r="11" spans="1:18" ht="15.75" x14ac:dyDescent="0.25">
      <c r="A11" s="859" t="s">
        <v>681</v>
      </c>
      <c r="B11" s="860"/>
      <c r="C11" s="860"/>
      <c r="D11" s="860"/>
      <c r="E11" s="860"/>
      <c r="F11" s="860"/>
      <c r="G11" s="860"/>
      <c r="H11" s="860"/>
      <c r="I11" s="860"/>
      <c r="J11" s="860"/>
      <c r="K11" s="860"/>
      <c r="L11" s="860"/>
      <c r="M11" s="860"/>
      <c r="N11" s="860"/>
      <c r="O11" s="860"/>
      <c r="P11" s="860"/>
      <c r="Q11" s="860"/>
      <c r="R11" s="861"/>
    </row>
    <row r="12" spans="1:18" x14ac:dyDescent="0.25">
      <c r="A12" s="852" t="s">
        <v>23</v>
      </c>
      <c r="B12" s="853"/>
      <c r="C12" s="854" t="s">
        <v>682</v>
      </c>
      <c r="D12" s="855"/>
      <c r="E12" s="848" t="s">
        <v>683</v>
      </c>
      <c r="F12" s="848"/>
      <c r="G12" s="848" t="s">
        <v>684</v>
      </c>
      <c r="H12" s="856"/>
      <c r="I12" s="857" t="s">
        <v>685</v>
      </c>
      <c r="J12" s="857"/>
      <c r="K12" s="857" t="s">
        <v>686</v>
      </c>
      <c r="L12" s="854"/>
      <c r="M12" s="848" t="s">
        <v>88</v>
      </c>
      <c r="N12" s="848"/>
      <c r="O12" s="848" t="s">
        <v>687</v>
      </c>
      <c r="P12" s="848"/>
      <c r="Q12" s="658"/>
      <c r="R12" s="658"/>
    </row>
    <row r="13" spans="1:18" x14ac:dyDescent="0.25">
      <c r="A13" s="849" t="s">
        <v>42</v>
      </c>
      <c r="B13" s="850"/>
      <c r="C13" s="847" t="s">
        <v>688</v>
      </c>
      <c r="D13" s="851"/>
      <c r="E13" s="838" t="s">
        <v>689</v>
      </c>
      <c r="F13" s="838"/>
      <c r="G13" s="838" t="s">
        <v>690</v>
      </c>
      <c r="H13" s="845"/>
      <c r="I13" s="846" t="s">
        <v>691</v>
      </c>
      <c r="J13" s="846"/>
      <c r="K13" s="846" t="s">
        <v>692</v>
      </c>
      <c r="L13" s="847"/>
      <c r="M13" s="838" t="s">
        <v>93</v>
      </c>
      <c r="N13" s="838"/>
      <c r="O13" s="838" t="s">
        <v>693</v>
      </c>
      <c r="P13" s="838"/>
      <c r="Q13" s="659"/>
      <c r="R13" s="659"/>
    </row>
    <row r="14" spans="1:18" ht="15.75" thickBot="1" x14ac:dyDescent="0.3">
      <c r="A14" s="841" t="s">
        <v>694</v>
      </c>
      <c r="B14" s="842"/>
      <c r="C14" s="843" t="s">
        <v>695</v>
      </c>
      <c r="D14" s="844"/>
      <c r="E14" s="838" t="s">
        <v>696</v>
      </c>
      <c r="F14" s="838"/>
      <c r="G14" s="838" t="s">
        <v>697</v>
      </c>
      <c r="H14" s="845"/>
      <c r="I14" s="846" t="s">
        <v>83</v>
      </c>
      <c r="J14" s="846"/>
      <c r="K14" s="846" t="s">
        <v>698</v>
      </c>
      <c r="L14" s="847"/>
      <c r="M14" s="838" t="s">
        <v>699</v>
      </c>
      <c r="N14" s="838"/>
      <c r="O14" s="838" t="s">
        <v>700</v>
      </c>
      <c r="P14" s="838"/>
      <c r="Q14" s="659"/>
      <c r="R14" s="659"/>
    </row>
    <row r="15" spans="1:18" ht="21.75" thickTop="1" x14ac:dyDescent="0.25">
      <c r="A15" s="839" t="s">
        <v>701</v>
      </c>
      <c r="B15" s="839"/>
      <c r="C15" s="839"/>
      <c r="D15" s="839"/>
      <c r="E15" s="839"/>
      <c r="F15" s="839"/>
      <c r="G15" s="839"/>
      <c r="H15" s="839"/>
      <c r="I15" s="839"/>
      <c r="J15" s="839"/>
      <c r="K15" s="839"/>
      <c r="L15" s="839"/>
      <c r="M15" s="839"/>
      <c r="N15" s="839"/>
      <c r="O15" s="839"/>
      <c r="P15" s="839"/>
      <c r="Q15" s="839"/>
      <c r="R15" s="839"/>
    </row>
    <row r="17" spans="1:18" ht="21" x14ac:dyDescent="0.25">
      <c r="A17" s="840" t="s">
        <v>702</v>
      </c>
      <c r="B17" s="840"/>
      <c r="C17" s="840"/>
      <c r="D17" s="840"/>
      <c r="E17" s="840"/>
      <c r="F17" s="840"/>
      <c r="G17" s="840"/>
      <c r="H17" s="840"/>
      <c r="I17" s="840"/>
      <c r="J17" s="840"/>
      <c r="K17" s="840"/>
      <c r="L17" s="840"/>
      <c r="M17" s="840"/>
      <c r="N17" s="840"/>
      <c r="O17" s="840"/>
      <c r="P17" s="840"/>
      <c r="Q17" s="840"/>
      <c r="R17" s="840"/>
    </row>
    <row r="18" spans="1:18" ht="30" customHeight="1" x14ac:dyDescent="0.25">
      <c r="A18" s="835" t="s">
        <v>703</v>
      </c>
      <c r="B18" s="835"/>
      <c r="C18" s="835"/>
      <c r="D18" s="835" t="s">
        <v>704</v>
      </c>
      <c r="E18" s="835"/>
      <c r="F18" s="835"/>
      <c r="G18" s="835"/>
      <c r="H18" s="835"/>
      <c r="I18" s="835"/>
      <c r="J18" s="835"/>
      <c r="K18" s="835"/>
      <c r="L18" s="835"/>
      <c r="M18" s="835"/>
      <c r="N18" s="835"/>
      <c r="O18" s="835"/>
      <c r="P18" s="835"/>
      <c r="Q18" s="835"/>
      <c r="R18" s="835"/>
    </row>
    <row r="19" spans="1:18" ht="30" customHeight="1" x14ac:dyDescent="0.25">
      <c r="A19" s="837" t="s">
        <v>705</v>
      </c>
      <c r="B19" s="837"/>
      <c r="C19" s="837"/>
      <c r="D19" s="837" t="s">
        <v>706</v>
      </c>
      <c r="E19" s="837"/>
      <c r="F19" s="837"/>
      <c r="G19" s="837"/>
      <c r="H19" s="837"/>
      <c r="I19" s="837"/>
      <c r="J19" s="837"/>
      <c r="K19" s="837"/>
      <c r="L19" s="837"/>
      <c r="M19" s="837"/>
      <c r="N19" s="837"/>
      <c r="O19" s="837"/>
      <c r="P19" s="837"/>
      <c r="Q19" s="837"/>
      <c r="R19" s="837"/>
    </row>
    <row r="20" spans="1:18" ht="20.100000000000001" customHeight="1" x14ac:dyDescent="0.25">
      <c r="A20" s="835" t="s">
        <v>707</v>
      </c>
      <c r="B20" s="835"/>
      <c r="C20" s="835"/>
      <c r="D20" s="835" t="s">
        <v>708</v>
      </c>
      <c r="E20" s="835"/>
      <c r="F20" s="835"/>
      <c r="G20" s="835"/>
      <c r="H20" s="835"/>
      <c r="I20" s="835"/>
      <c r="J20" s="835"/>
      <c r="K20" s="835"/>
      <c r="L20" s="835"/>
      <c r="M20" s="835"/>
      <c r="N20" s="835"/>
      <c r="O20" s="835"/>
      <c r="P20" s="835"/>
      <c r="Q20" s="835"/>
      <c r="R20" s="835"/>
    </row>
    <row r="21" spans="1:18" ht="30" customHeight="1" x14ac:dyDescent="0.25">
      <c r="A21" s="837" t="s">
        <v>709</v>
      </c>
      <c r="B21" s="837"/>
      <c r="C21" s="837"/>
      <c r="D21" s="837" t="s">
        <v>710</v>
      </c>
      <c r="E21" s="837"/>
      <c r="F21" s="837"/>
      <c r="G21" s="837"/>
      <c r="H21" s="837"/>
      <c r="I21" s="837"/>
      <c r="J21" s="837"/>
      <c r="K21" s="837"/>
      <c r="L21" s="837"/>
      <c r="M21" s="837"/>
      <c r="N21" s="837"/>
      <c r="O21" s="837"/>
      <c r="P21" s="837"/>
      <c r="Q21" s="837"/>
      <c r="R21" s="837"/>
    </row>
    <row r="22" spans="1:18" ht="30" customHeight="1" x14ac:dyDescent="0.25">
      <c r="A22" s="835" t="s">
        <v>711</v>
      </c>
      <c r="B22" s="835"/>
      <c r="C22" s="835"/>
      <c r="D22" s="835" t="s">
        <v>712</v>
      </c>
      <c r="E22" s="835"/>
      <c r="F22" s="835"/>
      <c r="G22" s="835"/>
      <c r="H22" s="835"/>
      <c r="I22" s="835"/>
      <c r="J22" s="835"/>
      <c r="K22" s="835"/>
      <c r="L22" s="835"/>
      <c r="M22" s="835"/>
      <c r="N22" s="835"/>
      <c r="O22" s="835"/>
      <c r="P22" s="835"/>
      <c r="Q22" s="835"/>
      <c r="R22" s="835"/>
    </row>
    <row r="23" spans="1:18" ht="20.100000000000001" customHeight="1" x14ac:dyDescent="0.25">
      <c r="A23" s="831" t="s">
        <v>713</v>
      </c>
      <c r="B23" s="831"/>
      <c r="C23" s="831"/>
      <c r="D23" s="836" t="s">
        <v>714</v>
      </c>
      <c r="E23" s="836"/>
      <c r="F23" s="836"/>
      <c r="G23" s="836"/>
      <c r="H23" s="836"/>
      <c r="I23" s="836"/>
      <c r="J23" s="836"/>
      <c r="K23" s="836"/>
      <c r="L23" s="836"/>
      <c r="M23" s="836"/>
      <c r="N23" s="836"/>
      <c r="O23" s="836"/>
      <c r="P23" s="836"/>
      <c r="Q23" s="836"/>
      <c r="R23" s="836"/>
    </row>
    <row r="24" spans="1:18" ht="30" customHeight="1" x14ac:dyDescent="0.25">
      <c r="A24" s="833" t="s">
        <v>715</v>
      </c>
      <c r="B24" s="833"/>
      <c r="C24" s="833"/>
      <c r="D24" s="834" t="s">
        <v>716</v>
      </c>
      <c r="E24" s="834"/>
      <c r="F24" s="834"/>
      <c r="G24" s="834"/>
      <c r="H24" s="834"/>
      <c r="I24" s="834"/>
      <c r="J24" s="834"/>
      <c r="K24" s="834"/>
      <c r="L24" s="834"/>
      <c r="M24" s="834"/>
      <c r="N24" s="834"/>
      <c r="O24" s="834"/>
      <c r="P24" s="834"/>
      <c r="Q24" s="834"/>
      <c r="R24" s="834"/>
    </row>
    <row r="25" spans="1:18" ht="30" customHeight="1" x14ac:dyDescent="0.25">
      <c r="A25" s="831" t="s">
        <v>717</v>
      </c>
      <c r="B25" s="831"/>
      <c r="C25" s="831"/>
      <c r="D25" s="832" t="s">
        <v>718</v>
      </c>
      <c r="E25" s="832"/>
      <c r="F25" s="832"/>
      <c r="G25" s="832"/>
      <c r="H25" s="832"/>
      <c r="I25" s="832"/>
      <c r="J25" s="832"/>
      <c r="K25" s="832"/>
      <c r="L25" s="832"/>
      <c r="M25" s="832"/>
      <c r="N25" s="832"/>
      <c r="O25" s="832"/>
      <c r="P25" s="832"/>
      <c r="Q25" s="832"/>
      <c r="R25" s="832"/>
    </row>
    <row r="26" spans="1:18" ht="30" customHeight="1" x14ac:dyDescent="0.25">
      <c r="A26" s="833" t="s">
        <v>719</v>
      </c>
      <c r="B26" s="833"/>
      <c r="C26" s="833"/>
      <c r="D26" s="834" t="s">
        <v>24</v>
      </c>
      <c r="E26" s="834"/>
      <c r="F26" s="834"/>
      <c r="G26" s="834"/>
      <c r="H26" s="834"/>
      <c r="I26" s="834"/>
      <c r="J26" s="834"/>
      <c r="K26" s="834"/>
      <c r="L26" s="834"/>
      <c r="M26" s="834"/>
      <c r="N26" s="834"/>
      <c r="O26" s="834"/>
      <c r="P26" s="834"/>
      <c r="Q26" s="834"/>
      <c r="R26" s="834"/>
    </row>
    <row r="28" spans="1:18" ht="21" x14ac:dyDescent="0.25">
      <c r="A28" s="830" t="s">
        <v>451</v>
      </c>
      <c r="B28" s="830"/>
      <c r="C28" s="830"/>
      <c r="D28" s="830"/>
      <c r="E28" s="830"/>
      <c r="F28" s="830"/>
      <c r="G28" s="830"/>
      <c r="H28" s="830"/>
      <c r="I28" s="830"/>
      <c r="J28" s="830"/>
      <c r="K28" s="830"/>
      <c r="L28" s="830"/>
      <c r="M28" s="830"/>
      <c r="N28" s="830"/>
      <c r="O28" s="830"/>
      <c r="P28" s="830"/>
      <c r="Q28" s="830"/>
      <c r="R28" s="830"/>
    </row>
    <row r="29" spans="1:18" ht="30" customHeight="1" x14ac:dyDescent="0.25">
      <c r="A29" s="827"/>
      <c r="B29" s="827"/>
      <c r="C29" s="827"/>
      <c r="D29" s="827"/>
      <c r="E29" s="827"/>
      <c r="F29" s="827"/>
      <c r="G29" s="827"/>
      <c r="H29" s="827"/>
      <c r="I29" s="827"/>
      <c r="J29" s="827"/>
      <c r="K29" s="827"/>
      <c r="L29" s="827"/>
      <c r="M29" s="827"/>
      <c r="N29" s="827"/>
      <c r="O29" s="827"/>
      <c r="P29" s="827"/>
      <c r="Q29" s="827"/>
      <c r="R29" s="827"/>
    </row>
    <row r="30" spans="1:18" ht="30" customHeight="1" x14ac:dyDescent="0.25">
      <c r="A30" s="825"/>
      <c r="B30" s="825"/>
      <c r="C30" s="825"/>
      <c r="D30" s="825"/>
      <c r="E30" s="825"/>
      <c r="F30" s="825"/>
      <c r="G30" s="825"/>
      <c r="H30" s="825"/>
      <c r="I30" s="825"/>
      <c r="J30" s="825"/>
      <c r="K30" s="825"/>
      <c r="L30" s="825"/>
      <c r="M30" s="825"/>
      <c r="N30" s="825"/>
      <c r="O30" s="825"/>
      <c r="P30" s="825"/>
      <c r="Q30" s="825"/>
      <c r="R30" s="825"/>
    </row>
    <row r="31" spans="1:18" ht="20.100000000000001" customHeight="1" x14ac:dyDescent="0.25">
      <c r="A31" s="827"/>
      <c r="B31" s="827"/>
      <c r="C31" s="827"/>
      <c r="D31" s="827"/>
      <c r="E31" s="827"/>
      <c r="F31" s="827"/>
      <c r="G31" s="827"/>
      <c r="H31" s="827"/>
      <c r="I31" s="827"/>
      <c r="J31" s="827"/>
      <c r="K31" s="827"/>
      <c r="L31" s="827"/>
      <c r="M31" s="827"/>
      <c r="N31" s="827"/>
      <c r="O31" s="827"/>
      <c r="P31" s="827"/>
      <c r="Q31" s="827"/>
      <c r="R31" s="827"/>
    </row>
    <row r="32" spans="1:18" ht="30" customHeight="1" x14ac:dyDescent="0.25">
      <c r="A32" s="825"/>
      <c r="B32" s="825"/>
      <c r="C32" s="825"/>
      <c r="D32" s="825"/>
      <c r="E32" s="825"/>
      <c r="F32" s="825"/>
      <c r="G32" s="825"/>
      <c r="H32" s="825"/>
      <c r="I32" s="825"/>
      <c r="J32" s="825"/>
      <c r="K32" s="825"/>
      <c r="L32" s="825"/>
      <c r="M32" s="825"/>
      <c r="N32" s="825"/>
      <c r="O32" s="825"/>
      <c r="P32" s="825"/>
      <c r="Q32" s="825"/>
      <c r="R32" s="825"/>
    </row>
    <row r="33" spans="1:18" ht="30" customHeight="1" x14ac:dyDescent="0.25">
      <c r="A33" s="827"/>
      <c r="B33" s="827"/>
      <c r="C33" s="827"/>
      <c r="D33" s="827"/>
      <c r="E33" s="827"/>
      <c r="F33" s="827"/>
      <c r="G33" s="827"/>
      <c r="H33" s="827"/>
      <c r="I33" s="827"/>
      <c r="J33" s="827"/>
      <c r="K33" s="827"/>
      <c r="L33" s="827"/>
      <c r="M33" s="827"/>
      <c r="N33" s="827"/>
      <c r="O33" s="827"/>
      <c r="P33" s="827"/>
      <c r="Q33" s="827"/>
      <c r="R33" s="827"/>
    </row>
    <row r="34" spans="1:18" ht="20.100000000000001" customHeight="1" x14ac:dyDescent="0.25">
      <c r="A34" s="825"/>
      <c r="B34" s="825"/>
      <c r="C34" s="825"/>
      <c r="D34" s="829"/>
      <c r="E34" s="829"/>
      <c r="F34" s="829"/>
      <c r="G34" s="829"/>
      <c r="H34" s="829"/>
      <c r="I34" s="829"/>
      <c r="J34" s="829"/>
      <c r="K34" s="829"/>
      <c r="L34" s="829"/>
      <c r="M34" s="829"/>
      <c r="N34" s="829"/>
      <c r="O34" s="829"/>
      <c r="P34" s="829"/>
      <c r="Q34" s="829"/>
      <c r="R34" s="829"/>
    </row>
    <row r="35" spans="1:18" ht="69.95" customHeight="1" x14ac:dyDescent="0.25">
      <c r="A35" s="827"/>
      <c r="B35" s="827"/>
      <c r="C35" s="827"/>
      <c r="D35" s="828"/>
      <c r="E35" s="828"/>
      <c r="F35" s="828"/>
      <c r="G35" s="828"/>
      <c r="H35" s="828"/>
      <c r="I35" s="828"/>
      <c r="J35" s="828"/>
      <c r="K35" s="828"/>
      <c r="L35" s="828"/>
      <c r="M35" s="828"/>
      <c r="N35" s="828"/>
      <c r="O35" s="828"/>
      <c r="P35" s="828"/>
      <c r="Q35" s="828"/>
      <c r="R35" s="828"/>
    </row>
    <row r="36" spans="1:18" ht="20.100000000000001" customHeight="1" x14ac:dyDescent="0.25">
      <c r="A36" s="825"/>
      <c r="B36" s="825"/>
      <c r="C36" s="825"/>
      <c r="D36" s="826"/>
      <c r="E36" s="826"/>
      <c r="F36" s="826"/>
      <c r="G36" s="826"/>
      <c r="H36" s="826"/>
      <c r="I36" s="826"/>
      <c r="J36" s="826"/>
      <c r="K36" s="826"/>
      <c r="L36" s="826"/>
      <c r="M36" s="826"/>
      <c r="N36" s="826"/>
      <c r="O36" s="826"/>
      <c r="P36" s="826"/>
      <c r="Q36" s="826"/>
      <c r="R36" s="826"/>
    </row>
    <row r="37" spans="1:18" ht="20.100000000000001" customHeight="1" x14ac:dyDescent="0.25">
      <c r="A37" s="825"/>
      <c r="B37" s="825"/>
      <c r="C37" s="825"/>
      <c r="D37" s="826"/>
      <c r="E37" s="826"/>
      <c r="F37" s="826"/>
      <c r="G37" s="826"/>
      <c r="H37" s="826"/>
      <c r="I37" s="826"/>
      <c r="J37" s="826"/>
      <c r="K37" s="826"/>
      <c r="L37" s="826"/>
      <c r="M37" s="826"/>
      <c r="N37" s="826"/>
      <c r="O37" s="826"/>
      <c r="P37" s="826"/>
      <c r="Q37" s="826"/>
      <c r="R37" s="826"/>
    </row>
    <row r="38" spans="1:18" ht="20.100000000000001" customHeight="1" x14ac:dyDescent="0.25">
      <c r="A38" s="825"/>
      <c r="B38" s="825"/>
      <c r="C38" s="825"/>
      <c r="D38" s="826"/>
      <c r="E38" s="826"/>
      <c r="F38" s="826"/>
      <c r="G38" s="826"/>
      <c r="H38" s="826"/>
      <c r="I38" s="826"/>
      <c r="J38" s="826"/>
      <c r="K38" s="826"/>
      <c r="L38" s="826"/>
      <c r="M38" s="826"/>
      <c r="N38" s="826"/>
      <c r="O38" s="826"/>
      <c r="P38" s="826"/>
      <c r="Q38" s="826"/>
      <c r="R38" s="826"/>
    </row>
    <row r="39" spans="1:18" ht="20.100000000000001" customHeight="1" x14ac:dyDescent="0.25">
      <c r="A39" s="825"/>
      <c r="B39" s="825"/>
      <c r="C39" s="825"/>
      <c r="D39" s="826"/>
      <c r="E39" s="826"/>
      <c r="F39" s="826"/>
      <c r="G39" s="826"/>
      <c r="H39" s="826"/>
      <c r="I39" s="826"/>
      <c r="J39" s="826"/>
      <c r="K39" s="826"/>
      <c r="L39" s="826"/>
      <c r="M39" s="826"/>
      <c r="N39" s="826"/>
      <c r="O39" s="826"/>
      <c r="P39" s="826"/>
      <c r="Q39" s="826"/>
      <c r="R39" s="826"/>
    </row>
    <row r="40" spans="1:18" ht="20.100000000000001" customHeight="1" x14ac:dyDescent="0.25">
      <c r="A40" s="825"/>
      <c r="B40" s="825"/>
      <c r="C40" s="825"/>
      <c r="D40" s="826"/>
      <c r="E40" s="826"/>
      <c r="F40" s="826"/>
      <c r="G40" s="826"/>
      <c r="H40" s="826"/>
      <c r="I40" s="826"/>
      <c r="J40" s="826"/>
      <c r="K40" s="826"/>
      <c r="L40" s="826"/>
      <c r="M40" s="826"/>
      <c r="N40" s="826"/>
      <c r="O40" s="826"/>
      <c r="P40" s="826"/>
      <c r="Q40" s="826"/>
      <c r="R40" s="826"/>
    </row>
    <row r="41" spans="1:18" ht="20.100000000000001" customHeight="1" x14ac:dyDescent="0.25">
      <c r="A41" s="825"/>
      <c r="B41" s="825"/>
      <c r="C41" s="825"/>
      <c r="D41" s="826"/>
      <c r="E41" s="826"/>
      <c r="F41" s="826"/>
      <c r="G41" s="826"/>
      <c r="H41" s="826"/>
      <c r="I41" s="826"/>
      <c r="J41" s="826"/>
      <c r="K41" s="826"/>
      <c r="L41" s="826"/>
      <c r="M41" s="826"/>
      <c r="N41" s="826"/>
      <c r="O41" s="826"/>
      <c r="P41" s="826"/>
      <c r="Q41" s="826"/>
      <c r="R41" s="826"/>
    </row>
    <row r="42" spans="1:18" ht="20.100000000000001" customHeight="1" x14ac:dyDescent="0.25">
      <c r="A42" s="825"/>
      <c r="B42" s="825"/>
      <c r="C42" s="825"/>
      <c r="D42" s="826"/>
      <c r="E42" s="826"/>
      <c r="F42" s="826"/>
      <c r="G42" s="826"/>
      <c r="H42" s="826"/>
      <c r="I42" s="826"/>
      <c r="J42" s="826"/>
      <c r="K42" s="826"/>
      <c r="L42" s="826"/>
      <c r="M42" s="826"/>
      <c r="N42" s="826"/>
      <c r="O42" s="826"/>
      <c r="P42" s="826"/>
      <c r="Q42" s="826"/>
      <c r="R42" s="826"/>
    </row>
    <row r="43" spans="1:18" ht="20.100000000000001" customHeight="1" x14ac:dyDescent="0.25">
      <c r="A43" s="825"/>
      <c r="B43" s="825"/>
      <c r="C43" s="825"/>
      <c r="D43" s="826"/>
      <c r="E43" s="826"/>
      <c r="F43" s="826"/>
      <c r="G43" s="826"/>
      <c r="H43" s="826"/>
      <c r="I43" s="826"/>
      <c r="J43" s="826"/>
      <c r="K43" s="826"/>
      <c r="L43" s="826"/>
      <c r="M43" s="826"/>
      <c r="N43" s="826"/>
      <c r="O43" s="826"/>
      <c r="P43" s="826"/>
      <c r="Q43" s="826"/>
      <c r="R43" s="826"/>
    </row>
    <row r="44" spans="1:18" ht="20.100000000000001" customHeight="1" x14ac:dyDescent="0.25">
      <c r="A44" s="825"/>
      <c r="B44" s="825"/>
      <c r="C44" s="825"/>
      <c r="D44" s="826"/>
      <c r="E44" s="826"/>
      <c r="F44" s="826"/>
      <c r="G44" s="826"/>
      <c r="H44" s="826"/>
      <c r="I44" s="826"/>
      <c r="J44" s="826"/>
      <c r="K44" s="826"/>
      <c r="L44" s="826"/>
      <c r="M44" s="826"/>
      <c r="N44" s="826"/>
      <c r="O44" s="826"/>
      <c r="P44" s="826"/>
      <c r="Q44" s="826"/>
      <c r="R44" s="826"/>
    </row>
    <row r="45" spans="1:18" ht="30" customHeight="1" x14ac:dyDescent="0.25">
      <c r="A45" s="825"/>
      <c r="B45" s="825"/>
      <c r="C45" s="825"/>
      <c r="D45" s="826"/>
      <c r="E45" s="826"/>
      <c r="F45" s="826"/>
      <c r="G45" s="826"/>
      <c r="H45" s="826"/>
      <c r="I45" s="826"/>
      <c r="J45" s="826"/>
      <c r="K45" s="826"/>
      <c r="L45" s="826"/>
      <c r="M45" s="826"/>
      <c r="N45" s="826"/>
      <c r="O45" s="826"/>
      <c r="P45" s="826"/>
      <c r="Q45" s="826"/>
      <c r="R45" s="826"/>
    </row>
    <row r="46" spans="1:18" ht="30" customHeight="1" x14ac:dyDescent="0.25">
      <c r="A46" s="825"/>
      <c r="B46" s="825"/>
      <c r="C46" s="825"/>
      <c r="D46" s="826"/>
      <c r="E46" s="826"/>
      <c r="F46" s="826"/>
      <c r="G46" s="826"/>
      <c r="H46" s="826"/>
      <c r="I46" s="826"/>
      <c r="J46" s="826"/>
      <c r="K46" s="826"/>
      <c r="L46" s="826"/>
      <c r="M46" s="826"/>
      <c r="N46" s="826"/>
      <c r="O46" s="826"/>
      <c r="P46" s="826"/>
      <c r="Q46" s="826"/>
      <c r="R46" s="826"/>
    </row>
    <row r="47" spans="1:18" ht="20.100000000000001" customHeight="1" x14ac:dyDescent="0.25">
      <c r="A47" s="825"/>
      <c r="B47" s="825"/>
      <c r="C47" s="825"/>
      <c r="D47" s="822"/>
      <c r="E47" s="823"/>
      <c r="F47" s="823"/>
      <c r="G47" s="823"/>
      <c r="H47" s="823"/>
      <c r="I47" s="823"/>
      <c r="J47" s="823"/>
      <c r="K47" s="823"/>
      <c r="L47" s="823"/>
      <c r="M47" s="823"/>
      <c r="N47" s="823"/>
      <c r="O47" s="823"/>
      <c r="P47" s="823"/>
      <c r="Q47" s="823"/>
      <c r="R47" s="824"/>
    </row>
    <row r="48" spans="1:18" ht="20.100000000000001" customHeight="1" x14ac:dyDescent="0.25">
      <c r="A48" s="825"/>
      <c r="B48" s="825"/>
      <c r="C48" s="825"/>
      <c r="D48" s="822"/>
      <c r="E48" s="823"/>
      <c r="F48" s="823"/>
      <c r="G48" s="823"/>
      <c r="H48" s="823"/>
      <c r="I48" s="823"/>
      <c r="J48" s="823"/>
      <c r="K48" s="823"/>
      <c r="L48" s="823"/>
      <c r="M48" s="823"/>
      <c r="N48" s="823"/>
      <c r="O48" s="823"/>
      <c r="P48" s="823"/>
      <c r="Q48" s="823"/>
      <c r="R48" s="824"/>
    </row>
    <row r="49" spans="1:18" ht="20.100000000000001" customHeight="1" x14ac:dyDescent="0.25">
      <c r="A49" s="825"/>
      <c r="B49" s="825"/>
      <c r="C49" s="825"/>
      <c r="D49" s="822"/>
      <c r="E49" s="823"/>
      <c r="F49" s="823"/>
      <c r="G49" s="823"/>
      <c r="H49" s="823"/>
      <c r="I49" s="823"/>
      <c r="J49" s="823"/>
      <c r="K49" s="823"/>
      <c r="L49" s="823"/>
      <c r="M49" s="823"/>
      <c r="N49" s="823"/>
      <c r="O49" s="823"/>
      <c r="P49" s="823"/>
      <c r="Q49" s="823"/>
      <c r="R49" s="824"/>
    </row>
    <row r="50" spans="1:18" ht="20.100000000000001" customHeight="1" x14ac:dyDescent="0.25">
      <c r="A50" s="825"/>
      <c r="B50" s="825"/>
      <c r="C50" s="825"/>
      <c r="D50" s="822"/>
      <c r="E50" s="823"/>
      <c r="F50" s="823"/>
      <c r="G50" s="823"/>
      <c r="H50" s="823"/>
      <c r="I50" s="823"/>
      <c r="J50" s="823"/>
      <c r="K50" s="823"/>
      <c r="L50" s="823"/>
      <c r="M50" s="823"/>
      <c r="N50" s="823"/>
      <c r="O50" s="823"/>
      <c r="P50" s="823"/>
      <c r="Q50" s="823"/>
      <c r="R50" s="824"/>
    </row>
    <row r="51" spans="1:18" ht="20.100000000000001" customHeight="1" x14ac:dyDescent="0.25">
      <c r="A51" s="825"/>
      <c r="B51" s="825"/>
      <c r="C51" s="825"/>
      <c r="D51" s="822"/>
      <c r="E51" s="823"/>
      <c r="F51" s="823"/>
      <c r="G51" s="823"/>
      <c r="H51" s="823"/>
      <c r="I51" s="823"/>
      <c r="J51" s="823"/>
      <c r="K51" s="823"/>
      <c r="L51" s="823"/>
      <c r="M51" s="823"/>
      <c r="N51" s="823"/>
      <c r="O51" s="823"/>
      <c r="P51" s="823"/>
      <c r="Q51" s="823"/>
      <c r="R51" s="824"/>
    </row>
    <row r="52" spans="1:18" ht="20.100000000000001" customHeight="1" x14ac:dyDescent="0.25">
      <c r="A52" s="825"/>
      <c r="B52" s="825"/>
      <c r="C52" s="825"/>
      <c r="D52" s="822"/>
      <c r="E52" s="823"/>
      <c r="F52" s="823"/>
      <c r="G52" s="823"/>
      <c r="H52" s="823"/>
      <c r="I52" s="823"/>
      <c r="J52" s="823"/>
      <c r="K52" s="823"/>
      <c r="L52" s="823"/>
      <c r="M52" s="823"/>
      <c r="N52" s="823"/>
      <c r="O52" s="823"/>
      <c r="P52" s="823"/>
      <c r="Q52" s="823"/>
      <c r="R52" s="824"/>
    </row>
    <row r="53" spans="1:18" x14ac:dyDescent="0.25">
      <c r="A53" s="660"/>
      <c r="B53" s="660"/>
      <c r="C53" s="660"/>
      <c r="D53" s="660"/>
      <c r="E53" s="660"/>
      <c r="F53" s="660"/>
      <c r="G53" s="660"/>
      <c r="H53" s="660"/>
      <c r="I53" s="660"/>
      <c r="J53" s="660"/>
      <c r="K53" s="660"/>
      <c r="L53" s="660"/>
      <c r="M53" s="660"/>
      <c r="N53" s="660"/>
      <c r="O53" s="660"/>
      <c r="P53" s="660"/>
      <c r="Q53" s="660"/>
      <c r="R53" s="660"/>
    </row>
    <row r="54" spans="1:18" x14ac:dyDescent="0.25">
      <c r="A54" s="660"/>
      <c r="B54" s="660"/>
      <c r="C54" s="660"/>
      <c r="D54" s="660"/>
      <c r="E54" s="660"/>
      <c r="F54" s="660"/>
      <c r="G54" s="660"/>
      <c r="H54" s="660"/>
      <c r="I54" s="660"/>
      <c r="J54" s="660"/>
      <c r="K54" s="660"/>
      <c r="L54" s="660"/>
      <c r="M54" s="660"/>
      <c r="N54" s="660"/>
      <c r="O54" s="660"/>
      <c r="P54" s="660"/>
      <c r="Q54" s="660"/>
      <c r="R54" s="660"/>
    </row>
    <row r="55" spans="1:18" x14ac:dyDescent="0.25">
      <c r="A55" s="660"/>
      <c r="B55" s="660"/>
      <c r="C55" s="660"/>
      <c r="D55" s="660"/>
      <c r="E55" s="660"/>
      <c r="F55" s="660"/>
      <c r="G55" s="660"/>
      <c r="H55" s="660"/>
      <c r="I55" s="660"/>
      <c r="J55" s="660"/>
      <c r="K55" s="660"/>
      <c r="L55" s="660"/>
      <c r="M55" s="660"/>
      <c r="N55" s="660"/>
      <c r="O55" s="660"/>
      <c r="P55" s="660"/>
      <c r="Q55" s="660"/>
      <c r="R55" s="660"/>
    </row>
    <row r="56" spans="1:18" x14ac:dyDescent="0.25">
      <c r="A56" s="660"/>
      <c r="B56" s="660"/>
      <c r="C56" s="660"/>
      <c r="D56" s="660"/>
      <c r="E56" s="660"/>
      <c r="F56" s="660"/>
      <c r="G56" s="660"/>
      <c r="H56" s="660"/>
      <c r="I56" s="660"/>
      <c r="J56" s="660"/>
      <c r="K56" s="660"/>
      <c r="L56" s="660"/>
      <c r="M56" s="660"/>
      <c r="N56" s="660"/>
      <c r="O56" s="660"/>
      <c r="P56" s="660"/>
      <c r="Q56" s="660"/>
      <c r="R56" s="660"/>
    </row>
    <row r="57" spans="1:18" x14ac:dyDescent="0.25">
      <c r="A57" s="660"/>
      <c r="B57" s="660"/>
      <c r="C57" s="660"/>
      <c r="D57" s="660"/>
      <c r="E57" s="660"/>
      <c r="F57" s="660"/>
      <c r="G57" s="660"/>
      <c r="H57" s="660"/>
      <c r="I57" s="660"/>
      <c r="J57" s="660"/>
      <c r="K57" s="660"/>
      <c r="L57" s="660"/>
      <c r="M57" s="660"/>
      <c r="N57" s="660"/>
      <c r="O57" s="660"/>
      <c r="P57" s="660"/>
      <c r="Q57" s="660"/>
      <c r="R57" s="660"/>
    </row>
    <row r="58" spans="1:18" x14ac:dyDescent="0.25">
      <c r="A58" s="660"/>
      <c r="B58" s="660"/>
      <c r="C58" s="660"/>
      <c r="D58" s="660"/>
      <c r="E58" s="660"/>
      <c r="F58" s="660"/>
      <c r="G58" s="660"/>
      <c r="H58" s="660"/>
      <c r="I58" s="660"/>
      <c r="J58" s="660"/>
      <c r="K58" s="660"/>
      <c r="L58" s="660"/>
      <c r="M58" s="660"/>
      <c r="N58" s="660"/>
      <c r="O58" s="660"/>
      <c r="P58" s="660"/>
      <c r="Q58" s="660"/>
      <c r="R58" s="660"/>
    </row>
    <row r="59" spans="1:18" x14ac:dyDescent="0.25">
      <c r="A59" s="660"/>
      <c r="B59" s="660"/>
      <c r="C59" s="660"/>
      <c r="D59" s="660"/>
      <c r="E59" s="660"/>
      <c r="F59" s="660"/>
      <c r="G59" s="660"/>
      <c r="H59" s="660"/>
      <c r="I59" s="660"/>
      <c r="J59" s="660"/>
      <c r="K59" s="660"/>
      <c r="L59" s="660"/>
      <c r="M59" s="660"/>
      <c r="N59" s="660"/>
      <c r="O59" s="660"/>
      <c r="P59" s="660"/>
      <c r="Q59" s="660"/>
      <c r="R59" s="660"/>
    </row>
    <row r="60" spans="1:18" x14ac:dyDescent="0.25">
      <c r="A60" s="660"/>
      <c r="B60" s="660"/>
      <c r="C60" s="660"/>
      <c r="D60" s="660"/>
      <c r="E60" s="660"/>
      <c r="F60" s="660"/>
      <c r="G60" s="660"/>
      <c r="H60" s="660"/>
      <c r="I60" s="660"/>
      <c r="J60" s="660"/>
      <c r="K60" s="660"/>
      <c r="L60" s="660"/>
      <c r="M60" s="660"/>
      <c r="N60" s="660"/>
      <c r="O60" s="660"/>
      <c r="P60" s="660"/>
      <c r="Q60" s="660"/>
      <c r="R60" s="660"/>
    </row>
    <row r="61" spans="1:18" x14ac:dyDescent="0.25">
      <c r="A61" s="660"/>
      <c r="B61" s="660"/>
      <c r="C61" s="660"/>
      <c r="D61" s="660"/>
      <c r="E61" s="660"/>
      <c r="F61" s="660"/>
      <c r="G61" s="660"/>
      <c r="H61" s="660"/>
      <c r="I61" s="660"/>
      <c r="J61" s="660"/>
      <c r="K61" s="660"/>
      <c r="L61" s="660"/>
      <c r="M61" s="660"/>
      <c r="N61" s="660"/>
      <c r="O61" s="660"/>
      <c r="P61" s="660"/>
      <c r="Q61" s="660"/>
      <c r="R61" s="660"/>
    </row>
    <row r="62" spans="1:18" x14ac:dyDescent="0.25">
      <c r="A62" s="660"/>
      <c r="B62" s="660"/>
      <c r="C62" s="660"/>
      <c r="D62" s="660"/>
      <c r="E62" s="660"/>
      <c r="F62" s="660"/>
      <c r="G62" s="660"/>
      <c r="H62" s="660"/>
      <c r="I62" s="660"/>
      <c r="J62" s="660"/>
      <c r="K62" s="660"/>
      <c r="L62" s="660"/>
      <c r="M62" s="660"/>
      <c r="N62" s="660"/>
      <c r="O62" s="660"/>
      <c r="P62" s="660"/>
      <c r="Q62" s="660"/>
      <c r="R62" s="660"/>
    </row>
    <row r="63" spans="1:18" x14ac:dyDescent="0.25">
      <c r="A63" s="660"/>
      <c r="B63" s="660"/>
      <c r="C63" s="660"/>
      <c r="D63" s="660"/>
      <c r="E63" s="660"/>
      <c r="F63" s="660"/>
      <c r="G63" s="660"/>
      <c r="H63" s="660"/>
      <c r="I63" s="660"/>
      <c r="J63" s="660"/>
      <c r="K63" s="660"/>
      <c r="L63" s="660"/>
      <c r="M63" s="660"/>
      <c r="N63" s="660"/>
      <c r="O63" s="660"/>
      <c r="P63" s="660"/>
      <c r="Q63" s="660"/>
      <c r="R63" s="660"/>
    </row>
    <row r="64" spans="1:18" x14ac:dyDescent="0.25">
      <c r="A64" s="660"/>
      <c r="B64" s="660"/>
      <c r="C64" s="660"/>
      <c r="D64" s="660"/>
      <c r="E64" s="660"/>
      <c r="F64" s="660"/>
      <c r="G64" s="660"/>
      <c r="H64" s="660"/>
      <c r="I64" s="660"/>
      <c r="J64" s="660"/>
      <c r="K64" s="660"/>
      <c r="L64" s="660"/>
      <c r="M64" s="660"/>
      <c r="N64" s="660"/>
      <c r="O64" s="660"/>
      <c r="P64" s="660"/>
      <c r="Q64" s="660"/>
      <c r="R64" s="660"/>
    </row>
    <row r="65" spans="1:18" x14ac:dyDescent="0.25">
      <c r="A65" s="660"/>
      <c r="B65" s="660"/>
      <c r="C65" s="660"/>
      <c r="D65" s="660"/>
      <c r="E65" s="660"/>
      <c r="F65" s="660"/>
      <c r="G65" s="660"/>
      <c r="H65" s="660"/>
      <c r="I65" s="660"/>
      <c r="J65" s="660"/>
      <c r="K65" s="660"/>
      <c r="L65" s="660"/>
      <c r="M65" s="660"/>
      <c r="N65" s="660"/>
      <c r="O65" s="660"/>
      <c r="P65" s="660"/>
      <c r="Q65" s="660"/>
      <c r="R65" s="660"/>
    </row>
    <row r="66" spans="1:18" x14ac:dyDescent="0.25">
      <c r="A66" s="660"/>
      <c r="B66" s="660"/>
      <c r="C66" s="660"/>
      <c r="D66" s="660"/>
      <c r="E66" s="660"/>
      <c r="F66" s="660"/>
      <c r="G66" s="660"/>
      <c r="H66" s="660"/>
      <c r="I66" s="660"/>
      <c r="J66" s="660"/>
      <c r="K66" s="660"/>
      <c r="L66" s="660"/>
      <c r="M66" s="660"/>
      <c r="N66" s="660"/>
      <c r="O66" s="660"/>
      <c r="P66" s="660"/>
      <c r="Q66" s="660"/>
      <c r="R66" s="660"/>
    </row>
    <row r="67" spans="1:18" x14ac:dyDescent="0.25">
      <c r="A67" s="660"/>
      <c r="B67" s="660"/>
      <c r="C67" s="660"/>
      <c r="D67" s="660"/>
      <c r="E67" s="660"/>
      <c r="F67" s="660"/>
      <c r="G67" s="660"/>
      <c r="H67" s="660"/>
      <c r="I67" s="660"/>
      <c r="J67" s="660"/>
      <c r="K67" s="660"/>
      <c r="L67" s="660"/>
      <c r="M67" s="660"/>
      <c r="N67" s="660"/>
      <c r="O67" s="660"/>
      <c r="P67" s="660"/>
      <c r="Q67" s="660"/>
      <c r="R67" s="660"/>
    </row>
  </sheetData>
  <mergeCells count="117">
    <mergeCell ref="A1:R1"/>
    <mergeCell ref="A2:R2"/>
    <mergeCell ref="A3:R3"/>
    <mergeCell ref="A4:R4"/>
    <mergeCell ref="A5:D5"/>
    <mergeCell ref="E5:H5"/>
    <mergeCell ref="I5:L5"/>
    <mergeCell ref="M5:R5"/>
    <mergeCell ref="A9:D9"/>
    <mergeCell ref="E9:G9"/>
    <mergeCell ref="I9:L9"/>
    <mergeCell ref="M9:R9"/>
    <mergeCell ref="A10:R10"/>
    <mergeCell ref="A11:R11"/>
    <mergeCell ref="A6:D6"/>
    <mergeCell ref="E6:H6"/>
    <mergeCell ref="I6:L6"/>
    <mergeCell ref="M6:R6"/>
    <mergeCell ref="A7:D8"/>
    <mergeCell ref="E7:H8"/>
    <mergeCell ref="I7:L7"/>
    <mergeCell ref="M7:R7"/>
    <mergeCell ref="I8:L8"/>
    <mergeCell ref="M8:R8"/>
    <mergeCell ref="M12:N12"/>
    <mergeCell ref="O12:P12"/>
    <mergeCell ref="A13:B13"/>
    <mergeCell ref="C13:D13"/>
    <mergeCell ref="E13:F13"/>
    <mergeCell ref="G13:H13"/>
    <mergeCell ref="I13:J13"/>
    <mergeCell ref="K13:L13"/>
    <mergeCell ref="M13:N13"/>
    <mergeCell ref="O13:P13"/>
    <mergeCell ref="A12:B12"/>
    <mergeCell ref="C12:D12"/>
    <mergeCell ref="E12:F12"/>
    <mergeCell ref="G12:H12"/>
    <mergeCell ref="I12:J12"/>
    <mergeCell ref="K12:L12"/>
    <mergeCell ref="A19:C19"/>
    <mergeCell ref="D19:R19"/>
    <mergeCell ref="A20:C20"/>
    <mergeCell ref="D20:R20"/>
    <mergeCell ref="A21:C21"/>
    <mergeCell ref="D21:R21"/>
    <mergeCell ref="M14:N14"/>
    <mergeCell ref="O14:P14"/>
    <mergeCell ref="A15:R15"/>
    <mergeCell ref="A17:R17"/>
    <mergeCell ref="A18:C18"/>
    <mergeCell ref="D18:R18"/>
    <mergeCell ref="A14:B14"/>
    <mergeCell ref="C14:D14"/>
    <mergeCell ref="E14:F14"/>
    <mergeCell ref="G14:H14"/>
    <mergeCell ref="I14:J14"/>
    <mergeCell ref="K14:L14"/>
    <mergeCell ref="A25:C25"/>
    <mergeCell ref="D25:R25"/>
    <mergeCell ref="A26:C26"/>
    <mergeCell ref="D26:R26"/>
    <mergeCell ref="A22:C22"/>
    <mergeCell ref="D22:R22"/>
    <mergeCell ref="A23:C23"/>
    <mergeCell ref="D23:R23"/>
    <mergeCell ref="A24:C24"/>
    <mergeCell ref="D24:R24"/>
    <mergeCell ref="A32:C32"/>
    <mergeCell ref="D32:R32"/>
    <mergeCell ref="A33:C33"/>
    <mergeCell ref="D33:R33"/>
    <mergeCell ref="A34:C34"/>
    <mergeCell ref="D34:R34"/>
    <mergeCell ref="A28:R28"/>
    <mergeCell ref="A29:C29"/>
    <mergeCell ref="D29:R29"/>
    <mergeCell ref="A30:C30"/>
    <mergeCell ref="D30:R30"/>
    <mergeCell ref="A31:C31"/>
    <mergeCell ref="D31:R31"/>
    <mergeCell ref="A38:C38"/>
    <mergeCell ref="D38:R38"/>
    <mergeCell ref="A39:C39"/>
    <mergeCell ref="D39:R39"/>
    <mergeCell ref="A40:C40"/>
    <mergeCell ref="D40:R40"/>
    <mergeCell ref="A35:C35"/>
    <mergeCell ref="D35:R35"/>
    <mergeCell ref="A36:C36"/>
    <mergeCell ref="D36:R36"/>
    <mergeCell ref="A37:C37"/>
    <mergeCell ref="D37:R37"/>
    <mergeCell ref="A44:C44"/>
    <mergeCell ref="D44:R44"/>
    <mergeCell ref="A45:C45"/>
    <mergeCell ref="D45:R45"/>
    <mergeCell ref="A46:C46"/>
    <mergeCell ref="D46:R46"/>
    <mergeCell ref="A41:C41"/>
    <mergeCell ref="D41:R41"/>
    <mergeCell ref="A42:C42"/>
    <mergeCell ref="D42:R42"/>
    <mergeCell ref="A43:C43"/>
    <mergeCell ref="D43:R43"/>
    <mergeCell ref="D47:R47"/>
    <mergeCell ref="D48:R48"/>
    <mergeCell ref="D49:R49"/>
    <mergeCell ref="D50:R50"/>
    <mergeCell ref="D51:R51"/>
    <mergeCell ref="D52:R52"/>
    <mergeCell ref="A47:C47"/>
    <mergeCell ref="A48:C48"/>
    <mergeCell ref="A49:C49"/>
    <mergeCell ref="A50:C50"/>
    <mergeCell ref="A51:C51"/>
    <mergeCell ref="A52:C5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F48CC-F9AA-4790-B458-E2F5AA405E12}">
  <sheetPr>
    <tabColor theme="7" tint="-0.499984740745262"/>
  </sheetPr>
  <dimension ref="A1:AD77"/>
  <sheetViews>
    <sheetView workbookViewId="0">
      <pane ySplit="1" topLeftCell="A8" activePane="bottomLeft" state="frozen"/>
      <selection activeCell="D1" sqref="D1"/>
      <selection pane="bottomLeft" activeCell="J12" sqref="J12"/>
    </sheetView>
  </sheetViews>
  <sheetFormatPr defaultRowHeight="15" x14ac:dyDescent="0.25"/>
  <cols>
    <col min="1" max="1" width="5.28515625" customWidth="1"/>
    <col min="2" max="2" width="12.5703125" customWidth="1"/>
    <col min="3" max="3" width="15.28515625" customWidth="1"/>
    <col min="4" max="6" width="13.7109375" customWidth="1"/>
    <col min="7" max="7" width="8.85546875" customWidth="1"/>
    <col min="8" max="8" width="14.85546875" customWidth="1"/>
    <col min="9" max="9" width="10.42578125" customWidth="1"/>
    <col min="10" max="11" width="11.42578125" customWidth="1"/>
    <col min="12" max="14" width="13.42578125" customWidth="1"/>
    <col min="15" max="15" width="12.5703125" customWidth="1"/>
    <col min="16" max="17" width="15.140625" customWidth="1"/>
    <col min="18" max="20" width="14" customWidth="1"/>
    <col min="21" max="25" width="8.7109375" customWidth="1"/>
  </cols>
  <sheetData>
    <row r="1" spans="1:30" ht="60" customHeight="1" x14ac:dyDescent="0.25">
      <c r="A1" s="60" t="s">
        <v>245</v>
      </c>
      <c r="B1" s="50" t="s">
        <v>334</v>
      </c>
      <c r="C1" s="51" t="s">
        <v>335</v>
      </c>
      <c r="D1" s="50" t="s">
        <v>510</v>
      </c>
      <c r="E1" s="51" t="s">
        <v>780</v>
      </c>
      <c r="F1" s="387" t="s">
        <v>781</v>
      </c>
      <c r="G1" s="52" t="s">
        <v>238</v>
      </c>
      <c r="H1" s="596" t="s">
        <v>244</v>
      </c>
      <c r="I1" s="597" t="s">
        <v>243</v>
      </c>
      <c r="J1" s="57" t="s">
        <v>239</v>
      </c>
      <c r="K1" s="595" t="s">
        <v>30</v>
      </c>
      <c r="L1" s="61" t="s">
        <v>240</v>
      </c>
      <c r="M1" s="107" t="s">
        <v>338</v>
      </c>
      <c r="N1" s="108" t="s">
        <v>365</v>
      </c>
      <c r="O1" s="57" t="s">
        <v>241</v>
      </c>
      <c r="P1" s="61" t="s">
        <v>242</v>
      </c>
      <c r="Q1" s="388" t="s">
        <v>279</v>
      </c>
      <c r="R1" s="595" t="s">
        <v>612</v>
      </c>
      <c r="S1" s="595" t="s">
        <v>613</v>
      </c>
      <c r="T1" s="593" t="s">
        <v>606</v>
      </c>
      <c r="U1" s="259" t="s">
        <v>339</v>
      </c>
      <c r="V1" s="594" t="s">
        <v>603</v>
      </c>
      <c r="W1" s="594" t="s">
        <v>604</v>
      </c>
      <c r="X1" s="594" t="s">
        <v>615</v>
      </c>
      <c r="Y1" s="594" t="s">
        <v>614</v>
      </c>
    </row>
    <row r="2" spans="1:30" ht="15.75" x14ac:dyDescent="0.25">
      <c r="A2" s="1097" t="str">
        <f>'BASE GRANTEE INFO &amp; UPDATES'!A1</f>
        <v>WV Bureau for Behavioral Health and Health Facilities -Community Anti-Drug Coalitions of America and Teen Court</v>
      </c>
      <c r="B2" s="1098"/>
      <c r="C2" s="1098"/>
      <c r="D2" s="1098"/>
      <c r="E2" s="1098"/>
      <c r="F2" s="1098"/>
      <c r="G2" s="1098"/>
      <c r="H2" s="1098"/>
      <c r="I2" s="1098"/>
      <c r="J2" s="1098"/>
      <c r="K2" s="1098"/>
      <c r="L2" s="1098"/>
      <c r="M2" s="1098"/>
      <c r="N2" s="1098"/>
      <c r="O2" s="1098"/>
      <c r="P2" s="64"/>
      <c r="Q2" s="64"/>
      <c r="R2" s="64"/>
      <c r="S2" s="64"/>
      <c r="T2" s="64"/>
      <c r="U2" s="64"/>
      <c r="V2" s="65"/>
      <c r="W2" s="65"/>
      <c r="X2" s="65"/>
      <c r="Y2" s="582"/>
    </row>
    <row r="3" spans="1:30" ht="15.75" x14ac:dyDescent="0.25">
      <c r="A3" s="871" t="str">
        <f>'BASE GRANTEE INFO &amp; UPDATES'!A2</f>
        <v>FISCAL YEAR: 2025 (09/30/2024 - 09/29/2025)</v>
      </c>
      <c r="B3" s="872"/>
      <c r="C3" s="872"/>
      <c r="D3" s="872"/>
      <c r="E3" s="872"/>
      <c r="F3" s="872"/>
      <c r="G3" s="872"/>
      <c r="H3" s="872"/>
      <c r="I3" s="872"/>
      <c r="J3" s="872"/>
      <c r="K3" s="872"/>
      <c r="L3" s="872"/>
      <c r="M3" s="872"/>
      <c r="N3" s="872"/>
      <c r="O3" s="872"/>
      <c r="P3" s="65"/>
      <c r="Q3" s="65"/>
      <c r="R3" s="65"/>
      <c r="S3" s="65"/>
      <c r="T3" s="65"/>
      <c r="U3" s="65"/>
      <c r="V3" s="65"/>
      <c r="W3" s="65"/>
      <c r="X3" s="65"/>
      <c r="Y3" s="582"/>
    </row>
    <row r="4" spans="1:30" ht="15.75" x14ac:dyDescent="0.25">
      <c r="A4" s="874" t="str">
        <f>'BASE GRANTEE INFO &amp; UPDATES'!A3</f>
        <v xml:space="preserve">Program reports need to be submitted electronically, via e-mail to BBHReporting@wv.gov  within 25 calendar days of the end of each month </v>
      </c>
      <c r="B4" s="875"/>
      <c r="C4" s="875"/>
      <c r="D4" s="875"/>
      <c r="E4" s="875"/>
      <c r="F4" s="875"/>
      <c r="G4" s="875"/>
      <c r="H4" s="875"/>
      <c r="I4" s="875"/>
      <c r="J4" s="875"/>
      <c r="K4" s="875"/>
      <c r="L4" s="875"/>
      <c r="M4" s="875"/>
      <c r="N4" s="875"/>
      <c r="O4" s="875"/>
      <c r="P4" s="66"/>
      <c r="Q4" s="66"/>
      <c r="R4" s="66"/>
      <c r="S4" s="66"/>
      <c r="T4" s="66"/>
      <c r="U4" s="66"/>
      <c r="V4" s="66"/>
      <c r="W4" s="66"/>
      <c r="X4" s="66"/>
      <c r="Y4" s="583"/>
    </row>
    <row r="5" spans="1:30" ht="18.75" x14ac:dyDescent="0.25">
      <c r="A5" s="953" t="s">
        <v>435</v>
      </c>
      <c r="B5" s="954"/>
      <c r="C5" s="954"/>
      <c r="D5" s="954"/>
      <c r="E5" s="954"/>
      <c r="F5" s="954"/>
      <c r="G5" s="954"/>
      <c r="H5" s="954"/>
      <c r="I5" s="954"/>
      <c r="J5" s="954"/>
      <c r="K5" s="954"/>
      <c r="L5" s="954"/>
      <c r="M5" s="954"/>
      <c r="N5" s="954"/>
      <c r="O5" s="954"/>
      <c r="P5" s="1099"/>
      <c r="Q5" s="249"/>
      <c r="R5" s="249"/>
      <c r="S5" s="249"/>
      <c r="T5" s="249"/>
      <c r="U5" s="249"/>
      <c r="V5" s="249"/>
      <c r="W5" s="249"/>
      <c r="X5" s="249"/>
      <c r="Y5" s="584"/>
    </row>
    <row r="6" spans="1:30" ht="20.100000000000001" customHeight="1" x14ac:dyDescent="0.25">
      <c r="A6" s="862" t="s">
        <v>0</v>
      </c>
      <c r="B6" s="862"/>
      <c r="C6" s="862"/>
      <c r="D6" s="862"/>
      <c r="E6" s="878" t="str">
        <f>'BASE GRANTEE INFO &amp; UPDATES'!E5</f>
        <v xml:space="preserve">Community Anti-Drug Coalitions of America (CADCA) and Teen Court </v>
      </c>
      <c r="F6" s="878"/>
      <c r="G6" s="878"/>
      <c r="H6" s="878"/>
      <c r="I6" s="864" t="s">
        <v>1</v>
      </c>
      <c r="J6" s="864"/>
      <c r="K6" s="864"/>
      <c r="L6" s="864"/>
      <c r="M6" s="865">
        <f>'BASE GRANTEE INFO &amp; UPDATES'!M5</f>
        <v>0</v>
      </c>
      <c r="N6" s="866"/>
      <c r="O6" s="866"/>
      <c r="P6" s="109"/>
      <c r="Q6" s="386"/>
      <c r="R6" s="68"/>
      <c r="S6" s="68"/>
      <c r="T6" s="68"/>
      <c r="U6" s="68"/>
      <c r="V6" s="68"/>
      <c r="W6" s="68"/>
      <c r="X6" s="68"/>
      <c r="Y6" s="585"/>
    </row>
    <row r="7" spans="1:30" ht="20.100000000000001" customHeight="1" x14ac:dyDescent="0.25">
      <c r="A7" s="862" t="s">
        <v>2</v>
      </c>
      <c r="B7" s="862"/>
      <c r="C7" s="862"/>
      <c r="D7" s="862"/>
      <c r="E7" s="863" t="str">
        <f>'BASE GRANTEE INFO &amp; UPDATES'!E6</f>
        <v>CADCA In Action and Teen Court</v>
      </c>
      <c r="F7" s="863"/>
      <c r="G7" s="863"/>
      <c r="H7" s="863"/>
      <c r="I7" s="864" t="s">
        <v>3</v>
      </c>
      <c r="J7" s="864"/>
      <c r="K7" s="864"/>
      <c r="L7" s="864"/>
      <c r="M7" s="865">
        <f>'BASE GRANTEE INFO &amp; UPDATES'!M6</f>
        <v>0</v>
      </c>
      <c r="N7" s="866"/>
      <c r="O7" s="866"/>
      <c r="P7" s="109"/>
      <c r="Q7" s="386"/>
      <c r="R7" s="68"/>
      <c r="S7" s="68"/>
      <c r="T7" s="68"/>
      <c r="U7" s="68"/>
      <c r="V7" s="68"/>
      <c r="W7" s="68"/>
      <c r="X7" s="68"/>
      <c r="Y7" s="585"/>
    </row>
    <row r="8" spans="1:30" ht="20.100000000000001" customHeight="1" x14ac:dyDescent="0.25">
      <c r="A8" s="868" t="s">
        <v>4</v>
      </c>
      <c r="B8" s="868"/>
      <c r="C8" s="868"/>
      <c r="D8" s="868"/>
      <c r="E8" s="869">
        <f>'BASE GRANTEE INFO &amp; UPDATES'!E7</f>
        <v>0</v>
      </c>
      <c r="F8" s="869"/>
      <c r="G8" s="869"/>
      <c r="H8" s="869"/>
      <c r="I8" s="864" t="s">
        <v>374</v>
      </c>
      <c r="J8" s="864"/>
      <c r="K8" s="864"/>
      <c r="L8" s="864"/>
      <c r="M8" s="865">
        <f>'BASE GRANTEE INFO &amp; UPDATES'!M7</f>
        <v>0</v>
      </c>
      <c r="N8" s="866"/>
      <c r="O8" s="866"/>
      <c r="P8" s="109"/>
      <c r="Q8" s="386"/>
      <c r="R8" s="68"/>
      <c r="S8" s="68"/>
      <c r="T8" s="68"/>
      <c r="U8" s="68"/>
      <c r="V8" s="68"/>
      <c r="W8" s="68"/>
      <c r="X8" s="68"/>
      <c r="Y8" s="585"/>
    </row>
    <row r="9" spans="1:30" ht="20.100000000000001" customHeight="1" x14ac:dyDescent="0.25">
      <c r="A9" s="868"/>
      <c r="B9" s="868"/>
      <c r="C9" s="868"/>
      <c r="D9" s="868"/>
      <c r="E9" s="869"/>
      <c r="F9" s="869"/>
      <c r="G9" s="869"/>
      <c r="H9" s="869"/>
      <c r="I9" s="870" t="s">
        <v>6</v>
      </c>
      <c r="J9" s="870"/>
      <c r="K9" s="870"/>
      <c r="L9" s="870"/>
      <c r="M9" s="865">
        <f>'BASE GRANTEE INFO &amp; UPDATES'!M8</f>
        <v>0</v>
      </c>
      <c r="N9" s="866"/>
      <c r="O9" s="866"/>
      <c r="P9" s="109"/>
      <c r="Q9" s="386"/>
      <c r="R9" s="68"/>
      <c r="S9" s="68"/>
      <c r="T9" s="68"/>
      <c r="U9" s="68"/>
      <c r="V9" s="68"/>
      <c r="W9" s="68"/>
      <c r="X9" s="68"/>
      <c r="Y9" s="585"/>
    </row>
    <row r="10" spans="1:30" ht="20.100000000000001" customHeight="1" x14ac:dyDescent="0.25">
      <c r="A10" s="862" t="s">
        <v>7</v>
      </c>
      <c r="B10" s="862"/>
      <c r="C10" s="862"/>
      <c r="D10" s="862"/>
      <c r="E10" s="879" t="str">
        <f>'BASE GRANTEE INFO &amp; UPDATES'!E9</f>
        <v>September 1 - 30</v>
      </c>
      <c r="F10" s="879"/>
      <c r="G10" s="879"/>
      <c r="H10" s="1">
        <f>'BASE GRANTEE INFO &amp; UPDATES'!G9</f>
        <v>2024</v>
      </c>
      <c r="I10" s="870" t="s">
        <v>8</v>
      </c>
      <c r="J10" s="870"/>
      <c r="K10" s="870"/>
      <c r="L10" s="870"/>
      <c r="M10" s="865">
        <f>'BASE GRANTEE INFO &amp; UPDATES'!M9</f>
        <v>0</v>
      </c>
      <c r="N10" s="866"/>
      <c r="O10" s="866"/>
      <c r="P10" s="109"/>
      <c r="Q10" s="386"/>
      <c r="R10" s="68"/>
      <c r="S10" s="68"/>
      <c r="T10" s="68"/>
      <c r="U10" s="68"/>
      <c r="V10" s="68"/>
      <c r="W10" s="68"/>
      <c r="X10" s="68"/>
      <c r="Y10" s="585"/>
    </row>
    <row r="11" spans="1:30" ht="18.75" x14ac:dyDescent="0.25">
      <c r="A11" s="953" t="s">
        <v>784</v>
      </c>
      <c r="B11" s="954"/>
      <c r="C11" s="954"/>
      <c r="D11" s="954"/>
      <c r="E11" s="954"/>
      <c r="F11" s="954"/>
      <c r="G11" s="954"/>
      <c r="H11" s="954"/>
      <c r="I11" s="954"/>
      <c r="J11" s="954"/>
      <c r="K11" s="954"/>
      <c r="L11" s="954"/>
      <c r="M11" s="954"/>
      <c r="N11" s="954"/>
      <c r="O11" s="954"/>
      <c r="P11" s="575"/>
      <c r="Q11" s="575"/>
      <c r="R11" s="575"/>
      <c r="S11" s="575"/>
      <c r="T11" s="575"/>
      <c r="U11" s="575"/>
      <c r="V11" s="1100" t="s">
        <v>616</v>
      </c>
      <c r="W11" s="1100"/>
      <c r="X11" s="1100"/>
      <c r="Y11" s="1101"/>
    </row>
    <row r="12" spans="1:30" ht="84" x14ac:dyDescent="0.25">
      <c r="A12" s="11" t="s">
        <v>245</v>
      </c>
      <c r="B12" s="50" t="s">
        <v>334</v>
      </c>
      <c r="C12" s="51" t="s">
        <v>335</v>
      </c>
      <c r="D12" s="50" t="s">
        <v>542</v>
      </c>
      <c r="E12" s="51" t="s">
        <v>780</v>
      </c>
      <c r="F12" s="392" t="s">
        <v>781</v>
      </c>
      <c r="G12" s="20" t="s">
        <v>238</v>
      </c>
      <c r="H12" s="55" t="s">
        <v>244</v>
      </c>
      <c r="I12" s="54" t="s">
        <v>243</v>
      </c>
      <c r="J12" s="55" t="s">
        <v>239</v>
      </c>
      <c r="K12" s="346" t="s">
        <v>30</v>
      </c>
      <c r="L12" s="62" t="s">
        <v>240</v>
      </c>
      <c r="M12" s="107" t="s">
        <v>338</v>
      </c>
      <c r="N12" s="108" t="s">
        <v>365</v>
      </c>
      <c r="O12" s="55" t="s">
        <v>241</v>
      </c>
      <c r="P12" s="62" t="s">
        <v>242</v>
      </c>
      <c r="Q12" s="389" t="s">
        <v>279</v>
      </c>
      <c r="R12" s="55" t="s">
        <v>612</v>
      </c>
      <c r="S12" s="55" t="s">
        <v>613</v>
      </c>
      <c r="T12" s="578" t="s">
        <v>606</v>
      </c>
      <c r="U12" s="259" t="s">
        <v>339</v>
      </c>
      <c r="V12" s="586" t="s">
        <v>603</v>
      </c>
      <c r="W12" s="587" t="s">
        <v>604</v>
      </c>
      <c r="X12" s="586" t="s">
        <v>615</v>
      </c>
      <c r="Y12" s="587" t="s">
        <v>605</v>
      </c>
      <c r="AB12" s="417" t="s">
        <v>535</v>
      </c>
      <c r="AC12" s="418" t="s">
        <v>536</v>
      </c>
      <c r="AD12" s="419" t="s">
        <v>537</v>
      </c>
    </row>
    <row r="13" spans="1:30" ht="39.950000000000003" customHeight="1" x14ac:dyDescent="0.25">
      <c r="A13" s="19">
        <f>ROW(A1)</f>
        <v>1</v>
      </c>
      <c r="B13" s="92">
        <v>1</v>
      </c>
      <c r="C13" s="53" t="s">
        <v>333</v>
      </c>
      <c r="D13" s="75">
        <v>44075</v>
      </c>
      <c r="E13" s="391">
        <v>44077</v>
      </c>
      <c r="F13" s="258" t="s">
        <v>100</v>
      </c>
      <c r="G13" s="11">
        <v>11</v>
      </c>
      <c r="H13" s="78" t="s">
        <v>58</v>
      </c>
      <c r="I13" s="77" t="s">
        <v>37</v>
      </c>
      <c r="J13" s="76" t="s">
        <v>100</v>
      </c>
      <c r="K13" s="347" t="s">
        <v>38</v>
      </c>
      <c r="L13" s="69" t="s">
        <v>122</v>
      </c>
      <c r="M13" s="63"/>
      <c r="N13" s="106"/>
      <c r="O13" s="76" t="s">
        <v>100</v>
      </c>
      <c r="P13" s="69" t="s">
        <v>100</v>
      </c>
      <c r="Q13" s="390" t="s">
        <v>100</v>
      </c>
      <c r="R13" s="579" t="s">
        <v>607</v>
      </c>
      <c r="S13" s="580" t="s">
        <v>607</v>
      </c>
      <c r="T13" s="590" t="s">
        <v>194</v>
      </c>
      <c r="U13" s="581" t="s">
        <v>100</v>
      </c>
      <c r="V13" s="588" t="s">
        <v>22</v>
      </c>
      <c r="W13" s="589" t="s">
        <v>22</v>
      </c>
      <c r="X13" s="588" t="s">
        <v>22</v>
      </c>
      <c r="Y13" s="589" t="s">
        <v>22</v>
      </c>
      <c r="AB13" s="420"/>
      <c r="AC13" s="421"/>
      <c r="AD13" s="422"/>
    </row>
    <row r="14" spans="1:30" ht="39.950000000000003" customHeight="1" x14ac:dyDescent="0.25">
      <c r="A14" s="19">
        <f t="shared" ref="A14:A62" si="0">ROW(A2)</f>
        <v>2</v>
      </c>
      <c r="B14" s="92">
        <v>2</v>
      </c>
      <c r="C14" s="49" t="s">
        <v>333</v>
      </c>
      <c r="D14" s="75">
        <v>44105</v>
      </c>
      <c r="E14" s="391">
        <v>44107</v>
      </c>
      <c r="F14" s="258" t="s">
        <v>104</v>
      </c>
      <c r="G14" s="11">
        <v>14</v>
      </c>
      <c r="H14" s="78" t="s">
        <v>598</v>
      </c>
      <c r="I14" s="77" t="s">
        <v>44</v>
      </c>
      <c r="J14" s="76" t="s">
        <v>100</v>
      </c>
      <c r="K14" s="347" t="s">
        <v>45</v>
      </c>
      <c r="L14" s="69" t="s">
        <v>100</v>
      </c>
      <c r="M14" s="63"/>
      <c r="N14" s="106"/>
      <c r="O14" s="76" t="s">
        <v>104</v>
      </c>
      <c r="P14" s="69" t="s">
        <v>104</v>
      </c>
      <c r="Q14" s="390" t="s">
        <v>104</v>
      </c>
      <c r="R14" s="579" t="s">
        <v>608</v>
      </c>
      <c r="S14" s="580" t="s">
        <v>610</v>
      </c>
      <c r="T14" s="590" t="s">
        <v>196</v>
      </c>
      <c r="U14" s="581" t="s">
        <v>104</v>
      </c>
      <c r="V14" s="588" t="s">
        <v>22</v>
      </c>
      <c r="W14" s="589" t="s">
        <v>22</v>
      </c>
      <c r="X14" s="588" t="s">
        <v>22</v>
      </c>
      <c r="Y14" s="589" t="s">
        <v>22</v>
      </c>
      <c r="AB14" s="420"/>
      <c r="AC14" s="421"/>
      <c r="AD14" s="422"/>
    </row>
    <row r="15" spans="1:30" ht="39.950000000000003" customHeight="1" x14ac:dyDescent="0.25">
      <c r="A15" s="19">
        <f t="shared" si="0"/>
        <v>3</v>
      </c>
      <c r="B15" s="92">
        <v>3</v>
      </c>
      <c r="C15" s="49" t="s">
        <v>333</v>
      </c>
      <c r="D15" s="75">
        <v>44136</v>
      </c>
      <c r="E15" s="391">
        <v>44137</v>
      </c>
      <c r="F15" s="258" t="s">
        <v>100</v>
      </c>
      <c r="G15" s="11">
        <v>19</v>
      </c>
      <c r="H15" s="78" t="s">
        <v>599</v>
      </c>
      <c r="I15" s="77" t="s">
        <v>52</v>
      </c>
      <c r="J15" s="76" t="s">
        <v>100</v>
      </c>
      <c r="K15" s="347" t="s">
        <v>78</v>
      </c>
      <c r="L15" s="69" t="s">
        <v>104</v>
      </c>
      <c r="M15" s="63"/>
      <c r="N15" s="106"/>
      <c r="O15" s="76" t="s">
        <v>100</v>
      </c>
      <c r="P15" s="69" t="s">
        <v>100</v>
      </c>
      <c r="Q15" s="390" t="s">
        <v>100</v>
      </c>
      <c r="R15" s="579" t="s">
        <v>609</v>
      </c>
      <c r="S15" s="580" t="s">
        <v>611</v>
      </c>
      <c r="T15" s="590" t="s">
        <v>198</v>
      </c>
      <c r="U15" s="581" t="s">
        <v>100</v>
      </c>
      <c r="V15" s="588" t="s">
        <v>22</v>
      </c>
      <c r="W15" s="589" t="s">
        <v>22</v>
      </c>
      <c r="X15" s="588" t="s">
        <v>22</v>
      </c>
      <c r="Y15" s="589" t="s">
        <v>22</v>
      </c>
      <c r="AB15" s="420"/>
      <c r="AC15" s="421"/>
      <c r="AD15" s="422"/>
    </row>
    <row r="16" spans="1:30" ht="39.950000000000003" customHeight="1" x14ac:dyDescent="0.25">
      <c r="A16" s="19">
        <f t="shared" si="0"/>
        <v>4</v>
      </c>
      <c r="B16" s="92">
        <v>4</v>
      </c>
      <c r="C16" s="49" t="s">
        <v>333</v>
      </c>
      <c r="D16" s="75">
        <v>44166</v>
      </c>
      <c r="E16" s="391">
        <v>44170</v>
      </c>
      <c r="F16" s="258" t="s">
        <v>104</v>
      </c>
      <c r="G16" s="11">
        <v>22</v>
      </c>
      <c r="H16" s="78" t="s">
        <v>600</v>
      </c>
      <c r="I16" s="77" t="s">
        <v>37</v>
      </c>
      <c r="J16" s="76" t="s">
        <v>100</v>
      </c>
      <c r="K16" s="347" t="s">
        <v>38</v>
      </c>
      <c r="L16" s="69" t="s">
        <v>122</v>
      </c>
      <c r="M16" s="63"/>
      <c r="N16" s="106"/>
      <c r="O16" s="76" t="s">
        <v>104</v>
      </c>
      <c r="P16" s="69" t="s">
        <v>104</v>
      </c>
      <c r="Q16" s="390" t="s">
        <v>104</v>
      </c>
      <c r="R16" s="579" t="s">
        <v>607</v>
      </c>
      <c r="S16" s="580" t="s">
        <v>607</v>
      </c>
      <c r="T16" s="590" t="s">
        <v>426</v>
      </c>
      <c r="U16" s="581" t="s">
        <v>104</v>
      </c>
      <c r="V16" s="588" t="s">
        <v>22</v>
      </c>
      <c r="W16" s="589" t="s">
        <v>22</v>
      </c>
      <c r="X16" s="588" t="s">
        <v>22</v>
      </c>
      <c r="Y16" s="589" t="s">
        <v>22</v>
      </c>
      <c r="AB16" s="420"/>
      <c r="AC16" s="421"/>
      <c r="AD16" s="422"/>
    </row>
    <row r="17" spans="1:30" ht="39.950000000000003" customHeight="1" x14ac:dyDescent="0.25">
      <c r="A17" s="19">
        <f t="shared" si="0"/>
        <v>5</v>
      </c>
      <c r="B17" s="92">
        <v>5</v>
      </c>
      <c r="C17" s="49" t="s">
        <v>333</v>
      </c>
      <c r="D17" s="75">
        <v>44197</v>
      </c>
      <c r="E17" s="391">
        <v>44201</v>
      </c>
      <c r="F17" s="258" t="s">
        <v>100</v>
      </c>
      <c r="G17" s="11">
        <v>26</v>
      </c>
      <c r="H17" s="78" t="s">
        <v>68</v>
      </c>
      <c r="I17" s="77" t="s">
        <v>44</v>
      </c>
      <c r="J17" s="76" t="s">
        <v>100</v>
      </c>
      <c r="K17" s="347" t="s">
        <v>45</v>
      </c>
      <c r="L17" s="69" t="s">
        <v>100</v>
      </c>
      <c r="M17" s="63"/>
      <c r="N17" s="106"/>
      <c r="O17" s="76" t="s">
        <v>100</v>
      </c>
      <c r="P17" s="69" t="s">
        <v>100</v>
      </c>
      <c r="Q17" s="390" t="s">
        <v>100</v>
      </c>
      <c r="R17" s="579" t="s">
        <v>608</v>
      </c>
      <c r="S17" s="580" t="s">
        <v>610</v>
      </c>
      <c r="T17" s="590" t="s">
        <v>202</v>
      </c>
      <c r="U17" s="581" t="s">
        <v>100</v>
      </c>
      <c r="V17" s="588" t="s">
        <v>22</v>
      </c>
      <c r="W17" s="589" t="s">
        <v>22</v>
      </c>
      <c r="X17" s="588" t="s">
        <v>22</v>
      </c>
      <c r="Y17" s="589" t="s">
        <v>22</v>
      </c>
      <c r="AB17" s="420"/>
      <c r="AC17" s="421"/>
      <c r="AD17" s="422"/>
    </row>
    <row r="18" spans="1:30" ht="39.950000000000003" customHeight="1" x14ac:dyDescent="0.25">
      <c r="A18" s="19">
        <f t="shared" si="0"/>
        <v>6</v>
      </c>
      <c r="B18" s="92">
        <v>6</v>
      </c>
      <c r="C18" s="49" t="s">
        <v>333</v>
      </c>
      <c r="D18" s="75">
        <v>44228</v>
      </c>
      <c r="E18" s="391">
        <v>44230</v>
      </c>
      <c r="F18" s="258" t="s">
        <v>104</v>
      </c>
      <c r="G18" s="11">
        <v>36</v>
      </c>
      <c r="H18" s="78" t="s">
        <v>51</v>
      </c>
      <c r="I18" s="77" t="s">
        <v>52</v>
      </c>
      <c r="J18" s="76" t="s">
        <v>100</v>
      </c>
      <c r="K18" s="347" t="s">
        <v>78</v>
      </c>
      <c r="L18" s="69" t="s">
        <v>104</v>
      </c>
      <c r="M18" s="63"/>
      <c r="N18" s="106"/>
      <c r="O18" s="76" t="s">
        <v>104</v>
      </c>
      <c r="P18" s="69" t="s">
        <v>104</v>
      </c>
      <c r="Q18" s="390" t="s">
        <v>104</v>
      </c>
      <c r="R18" s="579" t="s">
        <v>609</v>
      </c>
      <c r="S18" s="580" t="s">
        <v>611</v>
      </c>
      <c r="T18" s="590" t="s">
        <v>202</v>
      </c>
      <c r="U18" s="581" t="s">
        <v>104</v>
      </c>
      <c r="V18" s="588" t="s">
        <v>22</v>
      </c>
      <c r="W18" s="589" t="s">
        <v>22</v>
      </c>
      <c r="X18" s="588" t="s">
        <v>22</v>
      </c>
      <c r="Y18" s="589" t="s">
        <v>22</v>
      </c>
      <c r="AB18" s="420"/>
      <c r="AC18" s="421"/>
      <c r="AD18" s="422"/>
    </row>
    <row r="19" spans="1:30" ht="39.950000000000003" customHeight="1" x14ac:dyDescent="0.25">
      <c r="A19" s="19">
        <f t="shared" si="0"/>
        <v>7</v>
      </c>
      <c r="B19" s="92">
        <v>7</v>
      </c>
      <c r="C19" s="49" t="s">
        <v>333</v>
      </c>
      <c r="D19" s="75">
        <v>44256</v>
      </c>
      <c r="E19" s="391">
        <v>44259</v>
      </c>
      <c r="F19" s="258" t="s">
        <v>100</v>
      </c>
      <c r="G19" s="11">
        <v>46</v>
      </c>
      <c r="H19" s="78" t="s">
        <v>594</v>
      </c>
      <c r="I19" s="77" t="s">
        <v>37</v>
      </c>
      <c r="J19" s="76" t="s">
        <v>100</v>
      </c>
      <c r="K19" s="347" t="s">
        <v>38</v>
      </c>
      <c r="L19" s="69" t="s">
        <v>122</v>
      </c>
      <c r="M19" s="63"/>
      <c r="N19" s="106"/>
      <c r="O19" s="76" t="s">
        <v>100</v>
      </c>
      <c r="P19" s="69" t="s">
        <v>100</v>
      </c>
      <c r="Q19" s="390" t="s">
        <v>100</v>
      </c>
      <c r="R19" s="579" t="s">
        <v>607</v>
      </c>
      <c r="S19" s="580" t="s">
        <v>607</v>
      </c>
      <c r="T19" s="590" t="s">
        <v>205</v>
      </c>
      <c r="U19" s="581" t="s">
        <v>100</v>
      </c>
      <c r="V19" s="588" t="s">
        <v>22</v>
      </c>
      <c r="W19" s="589" t="s">
        <v>22</v>
      </c>
      <c r="X19" s="588" t="s">
        <v>22</v>
      </c>
      <c r="Y19" s="589" t="s">
        <v>22</v>
      </c>
      <c r="AB19" s="420"/>
      <c r="AC19" s="421"/>
      <c r="AD19" s="422"/>
    </row>
    <row r="20" spans="1:30" ht="39.950000000000003" customHeight="1" x14ac:dyDescent="0.25">
      <c r="A20" s="19">
        <f t="shared" si="0"/>
        <v>8</v>
      </c>
      <c r="B20" s="92">
        <v>8</v>
      </c>
      <c r="C20" s="49" t="s">
        <v>333</v>
      </c>
      <c r="D20" s="75">
        <v>44287</v>
      </c>
      <c r="E20" s="391">
        <v>44291</v>
      </c>
      <c r="F20" s="258" t="s">
        <v>104</v>
      </c>
      <c r="G20" s="11">
        <v>56</v>
      </c>
      <c r="H20" s="78" t="s">
        <v>58</v>
      </c>
      <c r="I20" s="77" t="s">
        <v>44</v>
      </c>
      <c r="J20" s="76" t="s">
        <v>100</v>
      </c>
      <c r="K20" s="347" t="s">
        <v>45</v>
      </c>
      <c r="L20" s="69" t="s">
        <v>100</v>
      </c>
      <c r="M20" s="63"/>
      <c r="N20" s="106"/>
      <c r="O20" s="76" t="s">
        <v>104</v>
      </c>
      <c r="P20" s="69" t="s">
        <v>104</v>
      </c>
      <c r="Q20" s="390" t="s">
        <v>104</v>
      </c>
      <c r="R20" s="579" t="s">
        <v>608</v>
      </c>
      <c r="S20" s="580" t="s">
        <v>610</v>
      </c>
      <c r="T20" s="590" t="s">
        <v>206</v>
      </c>
      <c r="U20" s="581" t="s">
        <v>104</v>
      </c>
      <c r="V20" s="588" t="s">
        <v>22</v>
      </c>
      <c r="W20" s="589" t="s">
        <v>22</v>
      </c>
      <c r="X20" s="588" t="s">
        <v>22</v>
      </c>
      <c r="Y20" s="589" t="s">
        <v>22</v>
      </c>
      <c r="AB20" s="420"/>
      <c r="AC20" s="421"/>
      <c r="AD20" s="422"/>
    </row>
    <row r="21" spans="1:30" ht="39.950000000000003" customHeight="1" x14ac:dyDescent="0.25">
      <c r="A21" s="19">
        <f t="shared" si="0"/>
        <v>9</v>
      </c>
      <c r="B21" s="92">
        <v>9</v>
      </c>
      <c r="C21" s="49" t="s">
        <v>333</v>
      </c>
      <c r="D21" s="75">
        <v>44317</v>
      </c>
      <c r="E21" s="391">
        <v>44319</v>
      </c>
      <c r="F21" s="258" t="s">
        <v>100</v>
      </c>
      <c r="G21" s="11">
        <v>66</v>
      </c>
      <c r="H21" s="78" t="s">
        <v>598</v>
      </c>
      <c r="I21" s="77" t="s">
        <v>52</v>
      </c>
      <c r="J21" s="76" t="s">
        <v>100</v>
      </c>
      <c r="K21" s="347" t="s">
        <v>78</v>
      </c>
      <c r="L21" s="69" t="s">
        <v>104</v>
      </c>
      <c r="M21" s="63"/>
      <c r="N21" s="106"/>
      <c r="O21" s="76" t="s">
        <v>100</v>
      </c>
      <c r="P21" s="69" t="s">
        <v>100</v>
      </c>
      <c r="Q21" s="390" t="s">
        <v>100</v>
      </c>
      <c r="R21" s="579" t="s">
        <v>609</v>
      </c>
      <c r="S21" s="580" t="s">
        <v>611</v>
      </c>
      <c r="T21" s="590" t="s">
        <v>209</v>
      </c>
      <c r="U21" s="581" t="s">
        <v>100</v>
      </c>
      <c r="V21" s="588" t="s">
        <v>22</v>
      </c>
      <c r="W21" s="589" t="s">
        <v>22</v>
      </c>
      <c r="X21" s="588" t="s">
        <v>22</v>
      </c>
      <c r="Y21" s="589" t="s">
        <v>22</v>
      </c>
      <c r="AB21" s="420"/>
      <c r="AC21" s="421"/>
      <c r="AD21" s="422"/>
    </row>
    <row r="22" spans="1:30" ht="39.950000000000003" customHeight="1" x14ac:dyDescent="0.25">
      <c r="A22" s="19">
        <f t="shared" si="0"/>
        <v>10</v>
      </c>
      <c r="B22" s="92">
        <v>10</v>
      </c>
      <c r="C22" s="49" t="s">
        <v>333</v>
      </c>
      <c r="D22" s="75">
        <v>44348</v>
      </c>
      <c r="E22" s="391">
        <v>44351</v>
      </c>
      <c r="F22" s="258" t="s">
        <v>104</v>
      </c>
      <c r="G22" s="11">
        <v>76</v>
      </c>
      <c r="H22" s="78" t="s">
        <v>599</v>
      </c>
      <c r="I22" s="77" t="s">
        <v>37</v>
      </c>
      <c r="J22" s="76" t="s">
        <v>100</v>
      </c>
      <c r="K22" s="347" t="s">
        <v>38</v>
      </c>
      <c r="L22" s="69" t="s">
        <v>122</v>
      </c>
      <c r="M22" s="63"/>
      <c r="N22" s="106"/>
      <c r="O22" s="76" t="s">
        <v>104</v>
      </c>
      <c r="P22" s="69" t="s">
        <v>104</v>
      </c>
      <c r="Q22" s="390" t="s">
        <v>104</v>
      </c>
      <c r="R22" s="579" t="s">
        <v>607</v>
      </c>
      <c r="S22" s="580" t="s">
        <v>607</v>
      </c>
      <c r="T22" s="590" t="s">
        <v>194</v>
      </c>
      <c r="U22" s="581" t="s">
        <v>104</v>
      </c>
      <c r="V22" s="588" t="s">
        <v>22</v>
      </c>
      <c r="W22" s="589" t="s">
        <v>22</v>
      </c>
      <c r="X22" s="588" t="s">
        <v>22</v>
      </c>
      <c r="Y22" s="589" t="s">
        <v>22</v>
      </c>
      <c r="AB22" s="420"/>
      <c r="AC22" s="421"/>
      <c r="AD22" s="422"/>
    </row>
    <row r="23" spans="1:30" ht="39.950000000000003" customHeight="1" x14ac:dyDescent="0.25">
      <c r="A23" s="19">
        <f t="shared" si="0"/>
        <v>11</v>
      </c>
      <c r="B23" s="92">
        <v>11</v>
      </c>
      <c r="C23" s="53" t="s">
        <v>333</v>
      </c>
      <c r="D23" s="75">
        <v>44378</v>
      </c>
      <c r="E23" s="391">
        <v>44379</v>
      </c>
      <c r="F23" s="258" t="s">
        <v>100</v>
      </c>
      <c r="G23" s="11">
        <v>11</v>
      </c>
      <c r="H23" s="78" t="s">
        <v>600</v>
      </c>
      <c r="I23" s="77" t="s">
        <v>37</v>
      </c>
      <c r="J23" s="76" t="s">
        <v>100</v>
      </c>
      <c r="K23" s="347" t="s">
        <v>45</v>
      </c>
      <c r="L23" s="69" t="s">
        <v>100</v>
      </c>
      <c r="M23" s="63"/>
      <c r="N23" s="106"/>
      <c r="O23" s="76" t="s">
        <v>100</v>
      </c>
      <c r="P23" s="69" t="s">
        <v>100</v>
      </c>
      <c r="Q23" s="390" t="s">
        <v>100</v>
      </c>
      <c r="R23" s="579" t="s">
        <v>607</v>
      </c>
      <c r="S23" s="580" t="s">
        <v>607</v>
      </c>
      <c r="T23" s="590" t="s">
        <v>196</v>
      </c>
      <c r="U23" s="581" t="s">
        <v>100</v>
      </c>
      <c r="V23" s="588" t="s">
        <v>22</v>
      </c>
      <c r="W23" s="589" t="s">
        <v>22</v>
      </c>
      <c r="X23" s="588" t="s">
        <v>22</v>
      </c>
      <c r="Y23" s="589" t="s">
        <v>22</v>
      </c>
      <c r="AB23" s="420"/>
      <c r="AC23" s="421"/>
      <c r="AD23" s="422"/>
    </row>
    <row r="24" spans="1:30" ht="39.950000000000003" customHeight="1" x14ac:dyDescent="0.25">
      <c r="A24" s="19">
        <f t="shared" si="0"/>
        <v>12</v>
      </c>
      <c r="B24" s="92">
        <v>12</v>
      </c>
      <c r="C24" s="49" t="s">
        <v>333</v>
      </c>
      <c r="D24" s="75">
        <v>44409</v>
      </c>
      <c r="E24" s="391">
        <v>44412</v>
      </c>
      <c r="F24" s="258" t="s">
        <v>104</v>
      </c>
      <c r="G24" s="11">
        <v>14</v>
      </c>
      <c r="H24" s="78" t="s">
        <v>68</v>
      </c>
      <c r="I24" s="77" t="s">
        <v>44</v>
      </c>
      <c r="J24" s="76" t="s">
        <v>100</v>
      </c>
      <c r="K24" s="347" t="s">
        <v>78</v>
      </c>
      <c r="L24" s="69" t="s">
        <v>104</v>
      </c>
      <c r="M24" s="63"/>
      <c r="N24" s="106"/>
      <c r="O24" s="76" t="s">
        <v>104</v>
      </c>
      <c r="P24" s="69" t="s">
        <v>104</v>
      </c>
      <c r="Q24" s="390" t="s">
        <v>104</v>
      </c>
      <c r="R24" s="579" t="s">
        <v>608</v>
      </c>
      <c r="S24" s="580" t="s">
        <v>610</v>
      </c>
      <c r="T24" s="590" t="s">
        <v>198</v>
      </c>
      <c r="U24" s="581" t="s">
        <v>104</v>
      </c>
      <c r="V24" s="588" t="s">
        <v>22</v>
      </c>
      <c r="W24" s="589" t="s">
        <v>22</v>
      </c>
      <c r="X24" s="588" t="s">
        <v>22</v>
      </c>
      <c r="Y24" s="589" t="s">
        <v>22</v>
      </c>
      <c r="AB24" s="420"/>
      <c r="AC24" s="421"/>
      <c r="AD24" s="422"/>
    </row>
    <row r="25" spans="1:30" ht="39.950000000000003" customHeight="1" x14ac:dyDescent="0.25">
      <c r="A25" s="19">
        <f t="shared" si="0"/>
        <v>13</v>
      </c>
      <c r="B25" s="92">
        <v>13</v>
      </c>
      <c r="C25" s="49" t="s">
        <v>333</v>
      </c>
      <c r="D25" s="75">
        <v>44075</v>
      </c>
      <c r="E25" s="391">
        <v>44077</v>
      </c>
      <c r="F25" s="258" t="s">
        <v>100</v>
      </c>
      <c r="G25" s="11">
        <v>19</v>
      </c>
      <c r="H25" s="78" t="s">
        <v>51</v>
      </c>
      <c r="I25" s="77" t="s">
        <v>52</v>
      </c>
      <c r="J25" s="76" t="s">
        <v>100</v>
      </c>
      <c r="K25" s="347" t="s">
        <v>38</v>
      </c>
      <c r="L25" s="69" t="s">
        <v>122</v>
      </c>
      <c r="M25" s="63"/>
      <c r="N25" s="106"/>
      <c r="O25" s="76" t="s">
        <v>100</v>
      </c>
      <c r="P25" s="69" t="s">
        <v>100</v>
      </c>
      <c r="Q25" s="390" t="s">
        <v>100</v>
      </c>
      <c r="R25" s="579" t="s">
        <v>609</v>
      </c>
      <c r="S25" s="580" t="s">
        <v>611</v>
      </c>
      <c r="T25" s="590" t="s">
        <v>426</v>
      </c>
      <c r="U25" s="581" t="s">
        <v>100</v>
      </c>
      <c r="V25" s="588" t="s">
        <v>22</v>
      </c>
      <c r="W25" s="589" t="s">
        <v>22</v>
      </c>
      <c r="X25" s="588" t="s">
        <v>22</v>
      </c>
      <c r="Y25" s="589" t="s">
        <v>22</v>
      </c>
      <c r="AB25" s="420"/>
      <c r="AC25" s="421"/>
      <c r="AD25" s="422"/>
    </row>
    <row r="26" spans="1:30" ht="39.950000000000003" customHeight="1" x14ac:dyDescent="0.25">
      <c r="A26" s="19">
        <f t="shared" si="0"/>
        <v>14</v>
      </c>
      <c r="B26" s="92">
        <v>14</v>
      </c>
      <c r="C26" s="49" t="s">
        <v>333</v>
      </c>
      <c r="D26" s="75">
        <v>44105</v>
      </c>
      <c r="E26" s="391">
        <v>44077</v>
      </c>
      <c r="F26" s="258" t="s">
        <v>104</v>
      </c>
      <c r="G26" s="11">
        <v>22</v>
      </c>
      <c r="H26" s="78" t="s">
        <v>594</v>
      </c>
      <c r="I26" s="77" t="s">
        <v>37</v>
      </c>
      <c r="J26" s="76" t="s">
        <v>100</v>
      </c>
      <c r="K26" s="347" t="s">
        <v>45</v>
      </c>
      <c r="L26" s="69" t="s">
        <v>104</v>
      </c>
      <c r="M26" s="63"/>
      <c r="N26" s="106"/>
      <c r="O26" s="76" t="s">
        <v>104</v>
      </c>
      <c r="P26" s="69" t="s">
        <v>104</v>
      </c>
      <c r="Q26" s="390" t="s">
        <v>104</v>
      </c>
      <c r="R26" s="579" t="s">
        <v>607</v>
      </c>
      <c r="S26" s="580" t="s">
        <v>607</v>
      </c>
      <c r="T26" s="590" t="s">
        <v>202</v>
      </c>
      <c r="U26" s="581" t="s">
        <v>104</v>
      </c>
      <c r="V26" s="588" t="s">
        <v>22</v>
      </c>
      <c r="W26" s="589" t="s">
        <v>22</v>
      </c>
      <c r="X26" s="588" t="s">
        <v>22</v>
      </c>
      <c r="Y26" s="589" t="s">
        <v>22</v>
      </c>
      <c r="AB26" s="420"/>
      <c r="AC26" s="421"/>
      <c r="AD26" s="422"/>
    </row>
    <row r="27" spans="1:30" ht="39.950000000000003" customHeight="1" x14ac:dyDescent="0.25">
      <c r="A27" s="19">
        <f t="shared" si="0"/>
        <v>15</v>
      </c>
      <c r="B27" s="92">
        <v>15</v>
      </c>
      <c r="C27" s="49" t="s">
        <v>333</v>
      </c>
      <c r="D27" s="75">
        <v>44136</v>
      </c>
      <c r="E27" s="391">
        <v>44137</v>
      </c>
      <c r="F27" s="258" t="s">
        <v>100</v>
      </c>
      <c r="G27" s="11">
        <v>26</v>
      </c>
      <c r="H27" s="78" t="s">
        <v>58</v>
      </c>
      <c r="I27" s="77" t="s">
        <v>44</v>
      </c>
      <c r="J27" s="76" t="s">
        <v>100</v>
      </c>
      <c r="K27" s="347" t="s">
        <v>78</v>
      </c>
      <c r="L27" s="69" t="s">
        <v>104</v>
      </c>
      <c r="M27" s="63"/>
      <c r="N27" s="106"/>
      <c r="O27" s="76" t="s">
        <v>100</v>
      </c>
      <c r="P27" s="69" t="s">
        <v>100</v>
      </c>
      <c r="Q27" s="390" t="s">
        <v>100</v>
      </c>
      <c r="R27" s="579" t="s">
        <v>608</v>
      </c>
      <c r="S27" s="580" t="s">
        <v>610</v>
      </c>
      <c r="T27" s="590" t="s">
        <v>202</v>
      </c>
      <c r="U27" s="581" t="s">
        <v>100</v>
      </c>
      <c r="V27" s="588" t="s">
        <v>22</v>
      </c>
      <c r="W27" s="589" t="s">
        <v>22</v>
      </c>
      <c r="X27" s="588" t="s">
        <v>22</v>
      </c>
      <c r="Y27" s="589" t="s">
        <v>22</v>
      </c>
      <c r="AB27" s="420"/>
      <c r="AC27" s="421"/>
      <c r="AD27" s="422"/>
    </row>
    <row r="28" spans="1:30" ht="39.950000000000003" customHeight="1" x14ac:dyDescent="0.25">
      <c r="A28" s="19">
        <f t="shared" si="0"/>
        <v>16</v>
      </c>
      <c r="B28" s="92">
        <v>16</v>
      </c>
      <c r="C28" s="49" t="s">
        <v>333</v>
      </c>
      <c r="D28" s="75">
        <v>44166</v>
      </c>
      <c r="E28" s="391">
        <v>44170</v>
      </c>
      <c r="F28" s="258" t="s">
        <v>104</v>
      </c>
      <c r="G28" s="11">
        <v>36</v>
      </c>
      <c r="H28" s="78" t="s">
        <v>598</v>
      </c>
      <c r="I28" s="77" t="s">
        <v>52</v>
      </c>
      <c r="J28" s="76" t="s">
        <v>100</v>
      </c>
      <c r="K28" s="347" t="s">
        <v>38</v>
      </c>
      <c r="L28" s="69" t="s">
        <v>122</v>
      </c>
      <c r="M28" s="63"/>
      <c r="N28" s="106"/>
      <c r="O28" s="76" t="s">
        <v>104</v>
      </c>
      <c r="P28" s="69" t="s">
        <v>104</v>
      </c>
      <c r="Q28" s="390" t="s">
        <v>104</v>
      </c>
      <c r="R28" s="579" t="s">
        <v>609</v>
      </c>
      <c r="S28" s="580" t="s">
        <v>611</v>
      </c>
      <c r="T28" s="590" t="s">
        <v>205</v>
      </c>
      <c r="U28" s="581" t="s">
        <v>104</v>
      </c>
      <c r="V28" s="588" t="s">
        <v>22</v>
      </c>
      <c r="W28" s="589" t="s">
        <v>22</v>
      </c>
      <c r="X28" s="588" t="s">
        <v>22</v>
      </c>
      <c r="Y28" s="589" t="s">
        <v>22</v>
      </c>
      <c r="AB28" s="420"/>
      <c r="AC28" s="421"/>
      <c r="AD28" s="422"/>
    </row>
    <row r="29" spans="1:30" ht="39.950000000000003" customHeight="1" x14ac:dyDescent="0.25">
      <c r="A29" s="19">
        <f t="shared" si="0"/>
        <v>17</v>
      </c>
      <c r="B29" s="92">
        <v>17</v>
      </c>
      <c r="C29" s="49" t="s">
        <v>333</v>
      </c>
      <c r="D29" s="75">
        <v>44197</v>
      </c>
      <c r="E29" s="391">
        <v>44201</v>
      </c>
      <c r="F29" s="258" t="s">
        <v>100</v>
      </c>
      <c r="G29" s="11">
        <v>46</v>
      </c>
      <c r="H29" s="78" t="s">
        <v>599</v>
      </c>
      <c r="I29" s="77" t="s">
        <v>37</v>
      </c>
      <c r="J29" s="76" t="s">
        <v>100</v>
      </c>
      <c r="K29" s="347" t="s">
        <v>45</v>
      </c>
      <c r="L29" s="69" t="s">
        <v>100</v>
      </c>
      <c r="M29" s="63"/>
      <c r="N29" s="106"/>
      <c r="O29" s="76" t="s">
        <v>100</v>
      </c>
      <c r="P29" s="69" t="s">
        <v>100</v>
      </c>
      <c r="Q29" s="390" t="s">
        <v>100</v>
      </c>
      <c r="R29" s="579" t="s">
        <v>607</v>
      </c>
      <c r="S29" s="580" t="s">
        <v>607</v>
      </c>
      <c r="T29" s="590" t="s">
        <v>206</v>
      </c>
      <c r="U29" s="581" t="s">
        <v>100</v>
      </c>
      <c r="V29" s="588" t="s">
        <v>22</v>
      </c>
      <c r="W29" s="589" t="s">
        <v>22</v>
      </c>
      <c r="X29" s="588" t="s">
        <v>22</v>
      </c>
      <c r="Y29" s="589" t="s">
        <v>22</v>
      </c>
      <c r="AB29" s="420"/>
      <c r="AC29" s="421"/>
      <c r="AD29" s="422"/>
    </row>
    <row r="30" spans="1:30" ht="39.950000000000003" customHeight="1" x14ac:dyDescent="0.25">
      <c r="A30" s="19">
        <f t="shared" si="0"/>
        <v>18</v>
      </c>
      <c r="B30" s="92">
        <v>18</v>
      </c>
      <c r="C30" s="49" t="s">
        <v>333</v>
      </c>
      <c r="D30" s="75">
        <v>44228</v>
      </c>
      <c r="E30" s="391">
        <v>44230</v>
      </c>
      <c r="F30" s="258" t="s">
        <v>104</v>
      </c>
      <c r="G30" s="11">
        <v>56</v>
      </c>
      <c r="H30" s="78" t="s">
        <v>600</v>
      </c>
      <c r="I30" s="77" t="s">
        <v>44</v>
      </c>
      <c r="J30" s="76" t="s">
        <v>100</v>
      </c>
      <c r="K30" s="347" t="s">
        <v>78</v>
      </c>
      <c r="L30" s="69" t="s">
        <v>104</v>
      </c>
      <c r="M30" s="63"/>
      <c r="N30" s="106"/>
      <c r="O30" s="76" t="s">
        <v>104</v>
      </c>
      <c r="P30" s="69" t="s">
        <v>104</v>
      </c>
      <c r="Q30" s="390" t="s">
        <v>104</v>
      </c>
      <c r="R30" s="579" t="s">
        <v>608</v>
      </c>
      <c r="S30" s="580" t="s">
        <v>610</v>
      </c>
      <c r="T30" s="590" t="s">
        <v>209</v>
      </c>
      <c r="U30" s="581" t="s">
        <v>104</v>
      </c>
      <c r="V30" s="588" t="s">
        <v>22</v>
      </c>
      <c r="W30" s="589" t="s">
        <v>22</v>
      </c>
      <c r="X30" s="588" t="s">
        <v>22</v>
      </c>
      <c r="Y30" s="589" t="s">
        <v>22</v>
      </c>
      <c r="AB30" s="420"/>
      <c r="AC30" s="421"/>
      <c r="AD30" s="422"/>
    </row>
    <row r="31" spans="1:30" ht="39.950000000000003" customHeight="1" x14ac:dyDescent="0.25">
      <c r="A31" s="19">
        <f t="shared" si="0"/>
        <v>19</v>
      </c>
      <c r="B31" s="92">
        <v>19</v>
      </c>
      <c r="C31" s="49" t="s">
        <v>333</v>
      </c>
      <c r="D31" s="75">
        <v>44256</v>
      </c>
      <c r="E31" s="391">
        <v>44259</v>
      </c>
      <c r="F31" s="258" t="s">
        <v>100</v>
      </c>
      <c r="G31" s="11">
        <v>66</v>
      </c>
      <c r="H31" s="78" t="s">
        <v>68</v>
      </c>
      <c r="I31" s="77" t="s">
        <v>52</v>
      </c>
      <c r="J31" s="76" t="s">
        <v>100</v>
      </c>
      <c r="K31" s="347" t="s">
        <v>38</v>
      </c>
      <c r="L31" s="69" t="s">
        <v>122</v>
      </c>
      <c r="M31" s="63"/>
      <c r="N31" s="106"/>
      <c r="O31" s="76" t="s">
        <v>100</v>
      </c>
      <c r="P31" s="69" t="s">
        <v>100</v>
      </c>
      <c r="Q31" s="390" t="s">
        <v>100</v>
      </c>
      <c r="R31" s="579" t="s">
        <v>609</v>
      </c>
      <c r="S31" s="580" t="s">
        <v>611</v>
      </c>
      <c r="T31" s="590" t="s">
        <v>194</v>
      </c>
      <c r="U31" s="581" t="s">
        <v>100</v>
      </c>
      <c r="V31" s="588" t="s">
        <v>22</v>
      </c>
      <c r="W31" s="589" t="s">
        <v>22</v>
      </c>
      <c r="X31" s="588" t="s">
        <v>22</v>
      </c>
      <c r="Y31" s="589" t="s">
        <v>22</v>
      </c>
      <c r="AB31" s="420"/>
      <c r="AC31" s="421"/>
      <c r="AD31" s="422"/>
    </row>
    <row r="32" spans="1:30" ht="39.950000000000003" customHeight="1" x14ac:dyDescent="0.25">
      <c r="A32" s="19">
        <f t="shared" si="0"/>
        <v>20</v>
      </c>
      <c r="B32" s="92">
        <v>20</v>
      </c>
      <c r="C32" s="49" t="s">
        <v>333</v>
      </c>
      <c r="D32" s="75">
        <v>44287</v>
      </c>
      <c r="E32" s="391">
        <v>44291</v>
      </c>
      <c r="F32" s="258" t="s">
        <v>104</v>
      </c>
      <c r="G32" s="11">
        <v>76</v>
      </c>
      <c r="H32" s="78" t="s">
        <v>51</v>
      </c>
      <c r="I32" s="77" t="s">
        <v>37</v>
      </c>
      <c r="J32" s="76" t="s">
        <v>100</v>
      </c>
      <c r="K32" s="347" t="s">
        <v>45</v>
      </c>
      <c r="L32" s="69" t="s">
        <v>104</v>
      </c>
      <c r="M32" s="63"/>
      <c r="N32" s="106"/>
      <c r="O32" s="76" t="s">
        <v>104</v>
      </c>
      <c r="P32" s="69" t="s">
        <v>104</v>
      </c>
      <c r="Q32" s="390" t="s">
        <v>104</v>
      </c>
      <c r="R32" s="579" t="s">
        <v>607</v>
      </c>
      <c r="S32" s="580" t="s">
        <v>607</v>
      </c>
      <c r="T32" s="590" t="s">
        <v>196</v>
      </c>
      <c r="U32" s="581" t="s">
        <v>104</v>
      </c>
      <c r="V32" s="588" t="s">
        <v>22</v>
      </c>
      <c r="W32" s="589" t="s">
        <v>22</v>
      </c>
      <c r="X32" s="588" t="s">
        <v>22</v>
      </c>
      <c r="Y32" s="589" t="s">
        <v>22</v>
      </c>
      <c r="AB32" s="420"/>
      <c r="AC32" s="421"/>
      <c r="AD32" s="422"/>
    </row>
    <row r="33" spans="1:30" ht="39.950000000000003" customHeight="1" x14ac:dyDescent="0.25">
      <c r="A33" s="19">
        <f t="shared" si="0"/>
        <v>21</v>
      </c>
      <c r="B33" s="92">
        <v>21</v>
      </c>
      <c r="C33" s="53" t="s">
        <v>333</v>
      </c>
      <c r="D33" s="75">
        <v>44317</v>
      </c>
      <c r="E33" s="391">
        <v>44319</v>
      </c>
      <c r="F33" s="258" t="s">
        <v>100</v>
      </c>
      <c r="G33" s="11">
        <v>11</v>
      </c>
      <c r="H33" s="78" t="s">
        <v>594</v>
      </c>
      <c r="I33" s="77" t="s">
        <v>37</v>
      </c>
      <c r="J33" s="76" t="s">
        <v>100</v>
      </c>
      <c r="K33" s="347" t="s">
        <v>78</v>
      </c>
      <c r="L33" s="69" t="s">
        <v>104</v>
      </c>
      <c r="M33" s="63"/>
      <c r="N33" s="106"/>
      <c r="O33" s="76" t="s">
        <v>100</v>
      </c>
      <c r="P33" s="69" t="s">
        <v>100</v>
      </c>
      <c r="Q33" s="390" t="s">
        <v>100</v>
      </c>
      <c r="R33" s="579" t="s">
        <v>607</v>
      </c>
      <c r="S33" s="580" t="s">
        <v>607</v>
      </c>
      <c r="T33" s="590" t="s">
        <v>198</v>
      </c>
      <c r="U33" s="581" t="s">
        <v>100</v>
      </c>
      <c r="V33" s="588" t="s">
        <v>22</v>
      </c>
      <c r="W33" s="589" t="s">
        <v>22</v>
      </c>
      <c r="X33" s="588" t="s">
        <v>22</v>
      </c>
      <c r="Y33" s="589" t="s">
        <v>22</v>
      </c>
      <c r="AB33" s="420"/>
      <c r="AC33" s="421"/>
      <c r="AD33" s="422"/>
    </row>
    <row r="34" spans="1:30" ht="39.950000000000003" customHeight="1" x14ac:dyDescent="0.25">
      <c r="A34" s="19">
        <f t="shared" si="0"/>
        <v>22</v>
      </c>
      <c r="B34" s="92">
        <v>22</v>
      </c>
      <c r="C34" s="49" t="s">
        <v>333</v>
      </c>
      <c r="D34" s="75">
        <v>44348</v>
      </c>
      <c r="E34" s="391">
        <v>44351</v>
      </c>
      <c r="F34" s="258" t="s">
        <v>104</v>
      </c>
      <c r="G34" s="11">
        <v>14</v>
      </c>
      <c r="H34" s="78" t="s">
        <v>58</v>
      </c>
      <c r="I34" s="77" t="s">
        <v>44</v>
      </c>
      <c r="J34" s="76" t="s">
        <v>100</v>
      </c>
      <c r="K34" s="347" t="s">
        <v>38</v>
      </c>
      <c r="L34" s="69" t="s">
        <v>122</v>
      </c>
      <c r="M34" s="63"/>
      <c r="N34" s="106"/>
      <c r="O34" s="76" t="s">
        <v>104</v>
      </c>
      <c r="P34" s="69" t="s">
        <v>104</v>
      </c>
      <c r="Q34" s="390" t="s">
        <v>104</v>
      </c>
      <c r="R34" s="579" t="s">
        <v>608</v>
      </c>
      <c r="S34" s="580" t="s">
        <v>610</v>
      </c>
      <c r="T34" s="590" t="s">
        <v>426</v>
      </c>
      <c r="U34" s="581" t="s">
        <v>104</v>
      </c>
      <c r="V34" s="588" t="s">
        <v>22</v>
      </c>
      <c r="W34" s="589" t="s">
        <v>22</v>
      </c>
      <c r="X34" s="588" t="s">
        <v>22</v>
      </c>
      <c r="Y34" s="589" t="s">
        <v>22</v>
      </c>
      <c r="AB34" s="420"/>
      <c r="AC34" s="421"/>
      <c r="AD34" s="422"/>
    </row>
    <row r="35" spans="1:30" ht="39.950000000000003" customHeight="1" x14ac:dyDescent="0.25">
      <c r="A35" s="19">
        <f t="shared" si="0"/>
        <v>23</v>
      </c>
      <c r="B35" s="92">
        <v>23</v>
      </c>
      <c r="C35" s="49" t="s">
        <v>333</v>
      </c>
      <c r="D35" s="75">
        <v>44378</v>
      </c>
      <c r="E35" s="391">
        <v>44379</v>
      </c>
      <c r="F35" s="258" t="s">
        <v>100</v>
      </c>
      <c r="G35" s="11">
        <v>19</v>
      </c>
      <c r="H35" s="78" t="s">
        <v>598</v>
      </c>
      <c r="I35" s="77" t="s">
        <v>52</v>
      </c>
      <c r="J35" s="76" t="s">
        <v>100</v>
      </c>
      <c r="K35" s="347" t="s">
        <v>45</v>
      </c>
      <c r="L35" s="69" t="s">
        <v>100</v>
      </c>
      <c r="M35" s="63"/>
      <c r="N35" s="106"/>
      <c r="O35" s="76" t="s">
        <v>100</v>
      </c>
      <c r="P35" s="69" t="s">
        <v>100</v>
      </c>
      <c r="Q35" s="390" t="s">
        <v>100</v>
      </c>
      <c r="R35" s="579" t="s">
        <v>609</v>
      </c>
      <c r="S35" s="580" t="s">
        <v>611</v>
      </c>
      <c r="T35" s="590" t="s">
        <v>202</v>
      </c>
      <c r="U35" s="581" t="s">
        <v>100</v>
      </c>
      <c r="V35" s="588" t="s">
        <v>22</v>
      </c>
      <c r="W35" s="589" t="s">
        <v>22</v>
      </c>
      <c r="X35" s="588" t="s">
        <v>22</v>
      </c>
      <c r="Y35" s="589" t="s">
        <v>22</v>
      </c>
      <c r="AB35" s="420"/>
      <c r="AC35" s="421"/>
      <c r="AD35" s="422"/>
    </row>
    <row r="36" spans="1:30" ht="39.950000000000003" customHeight="1" x14ac:dyDescent="0.25">
      <c r="A36" s="19">
        <f t="shared" si="0"/>
        <v>24</v>
      </c>
      <c r="B36" s="92">
        <v>24</v>
      </c>
      <c r="C36" s="49" t="s">
        <v>333</v>
      </c>
      <c r="D36" s="75">
        <v>44409</v>
      </c>
      <c r="E36" s="391">
        <v>44412</v>
      </c>
      <c r="F36" s="258" t="s">
        <v>104</v>
      </c>
      <c r="G36" s="11">
        <v>22</v>
      </c>
      <c r="H36" s="78" t="s">
        <v>599</v>
      </c>
      <c r="I36" s="77" t="s">
        <v>37</v>
      </c>
      <c r="J36" s="76" t="s">
        <v>100</v>
      </c>
      <c r="K36" s="347" t="s">
        <v>78</v>
      </c>
      <c r="L36" s="69" t="s">
        <v>104</v>
      </c>
      <c r="M36" s="63"/>
      <c r="N36" s="106"/>
      <c r="O36" s="76" t="s">
        <v>104</v>
      </c>
      <c r="P36" s="69" t="s">
        <v>104</v>
      </c>
      <c r="Q36" s="390" t="s">
        <v>104</v>
      </c>
      <c r="R36" s="579" t="s">
        <v>607</v>
      </c>
      <c r="S36" s="580" t="s">
        <v>607</v>
      </c>
      <c r="T36" s="590" t="s">
        <v>202</v>
      </c>
      <c r="U36" s="581" t="s">
        <v>104</v>
      </c>
      <c r="V36" s="588" t="s">
        <v>22</v>
      </c>
      <c r="W36" s="589" t="s">
        <v>22</v>
      </c>
      <c r="X36" s="588" t="s">
        <v>22</v>
      </c>
      <c r="Y36" s="589" t="s">
        <v>22</v>
      </c>
      <c r="AB36" s="420"/>
      <c r="AC36" s="421"/>
      <c r="AD36" s="422"/>
    </row>
    <row r="37" spans="1:30" ht="39.950000000000003" customHeight="1" x14ac:dyDescent="0.25">
      <c r="A37" s="19">
        <f t="shared" si="0"/>
        <v>25</v>
      </c>
      <c r="B37" s="92">
        <v>25</v>
      </c>
      <c r="C37" s="49" t="s">
        <v>333</v>
      </c>
      <c r="D37" s="75">
        <v>44075</v>
      </c>
      <c r="E37" s="391">
        <v>44077</v>
      </c>
      <c r="F37" s="258" t="s">
        <v>100</v>
      </c>
      <c r="G37" s="11">
        <v>26</v>
      </c>
      <c r="H37" s="78" t="s">
        <v>600</v>
      </c>
      <c r="I37" s="77" t="s">
        <v>44</v>
      </c>
      <c r="J37" s="76" t="s">
        <v>100</v>
      </c>
      <c r="K37" s="347" t="s">
        <v>38</v>
      </c>
      <c r="L37" s="69" t="s">
        <v>122</v>
      </c>
      <c r="M37" s="63"/>
      <c r="N37" s="106"/>
      <c r="O37" s="76" t="s">
        <v>100</v>
      </c>
      <c r="P37" s="69" t="s">
        <v>100</v>
      </c>
      <c r="Q37" s="390" t="s">
        <v>100</v>
      </c>
      <c r="R37" s="579" t="s">
        <v>608</v>
      </c>
      <c r="S37" s="580" t="s">
        <v>610</v>
      </c>
      <c r="T37" s="590" t="s">
        <v>205</v>
      </c>
      <c r="U37" s="581" t="s">
        <v>100</v>
      </c>
      <c r="V37" s="588" t="s">
        <v>22</v>
      </c>
      <c r="W37" s="589" t="s">
        <v>22</v>
      </c>
      <c r="X37" s="588" t="s">
        <v>22</v>
      </c>
      <c r="Y37" s="589" t="s">
        <v>22</v>
      </c>
      <c r="AB37" s="420"/>
      <c r="AC37" s="421"/>
      <c r="AD37" s="422"/>
    </row>
    <row r="38" spans="1:30" ht="39.950000000000003" customHeight="1" x14ac:dyDescent="0.25">
      <c r="A38" s="19">
        <f t="shared" si="0"/>
        <v>26</v>
      </c>
      <c r="B38" s="92">
        <v>26</v>
      </c>
      <c r="C38" s="49" t="s">
        <v>333</v>
      </c>
      <c r="D38" s="75">
        <v>44105</v>
      </c>
      <c r="E38" s="391">
        <v>44077</v>
      </c>
      <c r="F38" s="258" t="s">
        <v>104</v>
      </c>
      <c r="G38" s="11">
        <v>36</v>
      </c>
      <c r="H38" s="78" t="s">
        <v>68</v>
      </c>
      <c r="I38" s="77" t="s">
        <v>52</v>
      </c>
      <c r="J38" s="76" t="s">
        <v>104</v>
      </c>
      <c r="K38" s="347" t="s">
        <v>45</v>
      </c>
      <c r="L38" s="69" t="s">
        <v>100</v>
      </c>
      <c r="M38" s="63"/>
      <c r="N38" s="106"/>
      <c r="O38" s="76" t="s">
        <v>104</v>
      </c>
      <c r="P38" s="69" t="s">
        <v>104</v>
      </c>
      <c r="Q38" s="390" t="s">
        <v>104</v>
      </c>
      <c r="R38" s="579" t="s">
        <v>609</v>
      </c>
      <c r="S38" s="580" t="s">
        <v>611</v>
      </c>
      <c r="T38" s="590" t="s">
        <v>206</v>
      </c>
      <c r="U38" s="581" t="s">
        <v>104</v>
      </c>
      <c r="V38" s="588" t="s">
        <v>22</v>
      </c>
      <c r="W38" s="589" t="s">
        <v>22</v>
      </c>
      <c r="X38" s="588" t="s">
        <v>22</v>
      </c>
      <c r="Y38" s="589" t="s">
        <v>22</v>
      </c>
      <c r="AB38" s="420"/>
      <c r="AC38" s="421"/>
      <c r="AD38" s="422"/>
    </row>
    <row r="39" spans="1:30" ht="39.950000000000003" customHeight="1" x14ac:dyDescent="0.25">
      <c r="A39" s="19">
        <f t="shared" si="0"/>
        <v>27</v>
      </c>
      <c r="B39" s="92">
        <v>27</v>
      </c>
      <c r="C39" s="49" t="s">
        <v>333</v>
      </c>
      <c r="D39" s="75">
        <v>44136</v>
      </c>
      <c r="E39" s="391">
        <v>44137</v>
      </c>
      <c r="F39" s="258" t="s">
        <v>100</v>
      </c>
      <c r="G39" s="11">
        <v>46</v>
      </c>
      <c r="H39" s="78" t="s">
        <v>51</v>
      </c>
      <c r="I39" s="77" t="s">
        <v>37</v>
      </c>
      <c r="J39" s="76" t="s">
        <v>104</v>
      </c>
      <c r="K39" s="347" t="s">
        <v>78</v>
      </c>
      <c r="L39" s="69" t="s">
        <v>104</v>
      </c>
      <c r="M39" s="63"/>
      <c r="N39" s="106"/>
      <c r="O39" s="76" t="s">
        <v>100</v>
      </c>
      <c r="P39" s="69" t="s">
        <v>100</v>
      </c>
      <c r="Q39" s="390" t="s">
        <v>100</v>
      </c>
      <c r="R39" s="579" t="s">
        <v>607</v>
      </c>
      <c r="S39" s="580" t="s">
        <v>607</v>
      </c>
      <c r="T39" s="590" t="s">
        <v>209</v>
      </c>
      <c r="U39" s="581" t="s">
        <v>100</v>
      </c>
      <c r="V39" s="588" t="s">
        <v>22</v>
      </c>
      <c r="W39" s="589" t="s">
        <v>22</v>
      </c>
      <c r="X39" s="588" t="s">
        <v>22</v>
      </c>
      <c r="Y39" s="589" t="s">
        <v>22</v>
      </c>
      <c r="AB39" s="420"/>
      <c r="AC39" s="421"/>
      <c r="AD39" s="422"/>
    </row>
    <row r="40" spans="1:30" ht="39.950000000000003" customHeight="1" x14ac:dyDescent="0.25">
      <c r="A40" s="19">
        <f t="shared" si="0"/>
        <v>28</v>
      </c>
      <c r="B40" s="92">
        <v>28</v>
      </c>
      <c r="C40" s="49" t="s">
        <v>333</v>
      </c>
      <c r="D40" s="75">
        <v>44166</v>
      </c>
      <c r="E40" s="391">
        <v>44170</v>
      </c>
      <c r="F40" s="258" t="s">
        <v>104</v>
      </c>
      <c r="G40" s="11">
        <v>56</v>
      </c>
      <c r="H40" s="78" t="s">
        <v>594</v>
      </c>
      <c r="I40" s="77" t="s">
        <v>44</v>
      </c>
      <c r="J40" s="76" t="s">
        <v>104</v>
      </c>
      <c r="K40" s="347" t="s">
        <v>38</v>
      </c>
      <c r="L40" s="69" t="s">
        <v>122</v>
      </c>
      <c r="M40" s="63"/>
      <c r="N40" s="106"/>
      <c r="O40" s="76" t="s">
        <v>104</v>
      </c>
      <c r="P40" s="69" t="s">
        <v>104</v>
      </c>
      <c r="Q40" s="390" t="s">
        <v>104</v>
      </c>
      <c r="R40" s="579" t="s">
        <v>608</v>
      </c>
      <c r="S40" s="580" t="s">
        <v>610</v>
      </c>
      <c r="T40" s="590" t="s">
        <v>194</v>
      </c>
      <c r="U40" s="581" t="s">
        <v>104</v>
      </c>
      <c r="V40" s="588" t="s">
        <v>22</v>
      </c>
      <c r="W40" s="589" t="s">
        <v>22</v>
      </c>
      <c r="X40" s="588" t="s">
        <v>22</v>
      </c>
      <c r="Y40" s="589" t="s">
        <v>22</v>
      </c>
      <c r="AB40" s="420"/>
      <c r="AC40" s="421"/>
      <c r="AD40" s="422"/>
    </row>
    <row r="41" spans="1:30" ht="39.950000000000003" customHeight="1" x14ac:dyDescent="0.25">
      <c r="A41" s="19">
        <f t="shared" si="0"/>
        <v>29</v>
      </c>
      <c r="B41" s="92">
        <v>29</v>
      </c>
      <c r="C41" s="49" t="s">
        <v>333</v>
      </c>
      <c r="D41" s="75">
        <v>44197</v>
      </c>
      <c r="E41" s="391">
        <v>44201</v>
      </c>
      <c r="F41" s="258" t="s">
        <v>100</v>
      </c>
      <c r="G41" s="11">
        <v>66</v>
      </c>
      <c r="H41" s="78" t="s">
        <v>58</v>
      </c>
      <c r="I41" s="77" t="s">
        <v>52</v>
      </c>
      <c r="J41" s="76" t="s">
        <v>104</v>
      </c>
      <c r="K41" s="347" t="s">
        <v>45</v>
      </c>
      <c r="L41" s="69" t="s">
        <v>100</v>
      </c>
      <c r="M41" s="63"/>
      <c r="N41" s="106"/>
      <c r="O41" s="76" t="s">
        <v>100</v>
      </c>
      <c r="P41" s="69" t="s">
        <v>100</v>
      </c>
      <c r="Q41" s="390" t="s">
        <v>100</v>
      </c>
      <c r="R41" s="579" t="s">
        <v>609</v>
      </c>
      <c r="S41" s="580" t="s">
        <v>611</v>
      </c>
      <c r="T41" s="590" t="s">
        <v>196</v>
      </c>
      <c r="U41" s="581" t="s">
        <v>100</v>
      </c>
      <c r="V41" s="588" t="s">
        <v>22</v>
      </c>
      <c r="W41" s="589" t="s">
        <v>22</v>
      </c>
      <c r="X41" s="588" t="s">
        <v>22</v>
      </c>
      <c r="Y41" s="589" t="s">
        <v>22</v>
      </c>
      <c r="AB41" s="420"/>
      <c r="AC41" s="421"/>
      <c r="AD41" s="422"/>
    </row>
    <row r="42" spans="1:30" ht="39.950000000000003" customHeight="1" x14ac:dyDescent="0.25">
      <c r="A42" s="19">
        <f t="shared" si="0"/>
        <v>30</v>
      </c>
      <c r="B42" s="92">
        <v>30</v>
      </c>
      <c r="C42" s="49" t="s">
        <v>333</v>
      </c>
      <c r="D42" s="75">
        <v>44228</v>
      </c>
      <c r="E42" s="391">
        <v>44230</v>
      </c>
      <c r="F42" s="258" t="s">
        <v>104</v>
      </c>
      <c r="G42" s="11">
        <v>76</v>
      </c>
      <c r="H42" s="78" t="s">
        <v>598</v>
      </c>
      <c r="I42" s="77" t="s">
        <v>37</v>
      </c>
      <c r="J42" s="76" t="s">
        <v>104</v>
      </c>
      <c r="K42" s="347" t="s">
        <v>78</v>
      </c>
      <c r="L42" s="69" t="s">
        <v>104</v>
      </c>
      <c r="M42" s="63"/>
      <c r="N42" s="106"/>
      <c r="O42" s="76" t="s">
        <v>104</v>
      </c>
      <c r="P42" s="69" t="s">
        <v>104</v>
      </c>
      <c r="Q42" s="390" t="s">
        <v>104</v>
      </c>
      <c r="R42" s="579" t="s">
        <v>607</v>
      </c>
      <c r="S42" s="580" t="s">
        <v>607</v>
      </c>
      <c r="T42" s="590" t="s">
        <v>198</v>
      </c>
      <c r="U42" s="581" t="s">
        <v>104</v>
      </c>
      <c r="V42" s="588" t="s">
        <v>22</v>
      </c>
      <c r="W42" s="589" t="s">
        <v>22</v>
      </c>
      <c r="X42" s="588" t="s">
        <v>22</v>
      </c>
      <c r="Y42" s="589" t="s">
        <v>22</v>
      </c>
      <c r="AB42" s="420"/>
      <c r="AC42" s="421"/>
      <c r="AD42" s="422"/>
    </row>
    <row r="43" spans="1:30" ht="39.950000000000003" customHeight="1" x14ac:dyDescent="0.25">
      <c r="A43" s="19">
        <f t="shared" si="0"/>
        <v>31</v>
      </c>
      <c r="B43" s="92">
        <v>31</v>
      </c>
      <c r="C43" s="53" t="s">
        <v>333</v>
      </c>
      <c r="D43" s="75">
        <v>44256</v>
      </c>
      <c r="E43" s="391">
        <v>44259</v>
      </c>
      <c r="F43" s="258" t="s">
        <v>100</v>
      </c>
      <c r="G43" s="11">
        <v>11</v>
      </c>
      <c r="H43" s="78" t="s">
        <v>599</v>
      </c>
      <c r="I43" s="77" t="s">
        <v>37</v>
      </c>
      <c r="J43" s="76" t="s">
        <v>104</v>
      </c>
      <c r="K43" s="347" t="s">
        <v>38</v>
      </c>
      <c r="L43" s="69" t="s">
        <v>122</v>
      </c>
      <c r="M43" s="63"/>
      <c r="N43" s="106"/>
      <c r="O43" s="76" t="s">
        <v>100</v>
      </c>
      <c r="P43" s="69" t="s">
        <v>100</v>
      </c>
      <c r="Q43" s="390" t="s">
        <v>100</v>
      </c>
      <c r="R43" s="579" t="s">
        <v>607</v>
      </c>
      <c r="S43" s="580" t="s">
        <v>607</v>
      </c>
      <c r="T43" s="590" t="s">
        <v>426</v>
      </c>
      <c r="U43" s="581" t="s">
        <v>100</v>
      </c>
      <c r="V43" s="588" t="s">
        <v>22</v>
      </c>
      <c r="W43" s="589" t="s">
        <v>22</v>
      </c>
      <c r="X43" s="588" t="s">
        <v>22</v>
      </c>
      <c r="Y43" s="589" t="s">
        <v>22</v>
      </c>
      <c r="AB43" s="420"/>
      <c r="AC43" s="421"/>
      <c r="AD43" s="422"/>
    </row>
    <row r="44" spans="1:30" ht="39.950000000000003" customHeight="1" x14ac:dyDescent="0.25">
      <c r="A44" s="19">
        <f t="shared" si="0"/>
        <v>32</v>
      </c>
      <c r="B44" s="92">
        <v>32</v>
      </c>
      <c r="C44" s="49" t="s">
        <v>333</v>
      </c>
      <c r="D44" s="75">
        <v>44287</v>
      </c>
      <c r="E44" s="391">
        <v>44291</v>
      </c>
      <c r="F44" s="258" t="s">
        <v>104</v>
      </c>
      <c r="G44" s="11">
        <v>14</v>
      </c>
      <c r="H44" s="78" t="s">
        <v>600</v>
      </c>
      <c r="I44" s="77" t="s">
        <v>44</v>
      </c>
      <c r="J44" s="76" t="s">
        <v>104</v>
      </c>
      <c r="K44" s="347" t="s">
        <v>45</v>
      </c>
      <c r="L44" s="69" t="s">
        <v>100</v>
      </c>
      <c r="M44" s="63"/>
      <c r="N44" s="106"/>
      <c r="O44" s="76" t="s">
        <v>104</v>
      </c>
      <c r="P44" s="69" t="s">
        <v>104</v>
      </c>
      <c r="Q44" s="390" t="s">
        <v>104</v>
      </c>
      <c r="R44" s="579" t="s">
        <v>608</v>
      </c>
      <c r="S44" s="580" t="s">
        <v>610</v>
      </c>
      <c r="T44" s="590" t="s">
        <v>202</v>
      </c>
      <c r="U44" s="581" t="s">
        <v>104</v>
      </c>
      <c r="V44" s="588" t="s">
        <v>22</v>
      </c>
      <c r="W44" s="589" t="s">
        <v>22</v>
      </c>
      <c r="X44" s="588" t="s">
        <v>22</v>
      </c>
      <c r="Y44" s="589" t="s">
        <v>22</v>
      </c>
      <c r="AB44" s="420"/>
      <c r="AC44" s="421"/>
      <c r="AD44" s="422"/>
    </row>
    <row r="45" spans="1:30" ht="39.950000000000003" customHeight="1" x14ac:dyDescent="0.25">
      <c r="A45" s="19">
        <f t="shared" si="0"/>
        <v>33</v>
      </c>
      <c r="B45" s="92">
        <v>33</v>
      </c>
      <c r="C45" s="49" t="s">
        <v>333</v>
      </c>
      <c r="D45" s="75">
        <v>44317</v>
      </c>
      <c r="E45" s="391">
        <v>44319</v>
      </c>
      <c r="F45" s="258" t="s">
        <v>100</v>
      </c>
      <c r="G45" s="11">
        <v>19</v>
      </c>
      <c r="H45" s="78" t="s">
        <v>68</v>
      </c>
      <c r="I45" s="77" t="s">
        <v>52</v>
      </c>
      <c r="J45" s="76" t="s">
        <v>104</v>
      </c>
      <c r="K45" s="347" t="s">
        <v>78</v>
      </c>
      <c r="L45" s="69" t="s">
        <v>104</v>
      </c>
      <c r="M45" s="63"/>
      <c r="N45" s="106"/>
      <c r="O45" s="76" t="s">
        <v>100</v>
      </c>
      <c r="P45" s="69" t="s">
        <v>100</v>
      </c>
      <c r="Q45" s="390" t="s">
        <v>100</v>
      </c>
      <c r="R45" s="579" t="s">
        <v>609</v>
      </c>
      <c r="S45" s="580" t="s">
        <v>611</v>
      </c>
      <c r="T45" s="590" t="s">
        <v>202</v>
      </c>
      <c r="U45" s="581" t="s">
        <v>100</v>
      </c>
      <c r="V45" s="588" t="s">
        <v>22</v>
      </c>
      <c r="W45" s="589" t="s">
        <v>22</v>
      </c>
      <c r="X45" s="588" t="s">
        <v>22</v>
      </c>
      <c r="Y45" s="589" t="s">
        <v>22</v>
      </c>
      <c r="AB45" s="420"/>
      <c r="AC45" s="421"/>
      <c r="AD45" s="422"/>
    </row>
    <row r="46" spans="1:30" ht="39.950000000000003" customHeight="1" x14ac:dyDescent="0.25">
      <c r="A46" s="19">
        <f t="shared" si="0"/>
        <v>34</v>
      </c>
      <c r="B46" s="92">
        <v>34</v>
      </c>
      <c r="C46" s="49" t="s">
        <v>333</v>
      </c>
      <c r="D46" s="75">
        <v>44348</v>
      </c>
      <c r="E46" s="391">
        <v>44351</v>
      </c>
      <c r="F46" s="258" t="s">
        <v>104</v>
      </c>
      <c r="G46" s="11">
        <v>22</v>
      </c>
      <c r="H46" s="78" t="s">
        <v>51</v>
      </c>
      <c r="I46" s="77" t="s">
        <v>37</v>
      </c>
      <c r="J46" s="76" t="s">
        <v>104</v>
      </c>
      <c r="K46" s="347" t="s">
        <v>38</v>
      </c>
      <c r="L46" s="69" t="s">
        <v>122</v>
      </c>
      <c r="M46" s="63"/>
      <c r="N46" s="106"/>
      <c r="O46" s="76" t="s">
        <v>104</v>
      </c>
      <c r="P46" s="69" t="s">
        <v>104</v>
      </c>
      <c r="Q46" s="390" t="s">
        <v>104</v>
      </c>
      <c r="R46" s="579" t="s">
        <v>607</v>
      </c>
      <c r="S46" s="580" t="s">
        <v>607</v>
      </c>
      <c r="T46" s="590" t="s">
        <v>205</v>
      </c>
      <c r="U46" s="581" t="s">
        <v>104</v>
      </c>
      <c r="V46" s="588" t="s">
        <v>22</v>
      </c>
      <c r="W46" s="589" t="s">
        <v>22</v>
      </c>
      <c r="X46" s="588" t="s">
        <v>22</v>
      </c>
      <c r="Y46" s="589" t="s">
        <v>22</v>
      </c>
      <c r="AB46" s="420"/>
      <c r="AC46" s="421"/>
      <c r="AD46" s="422"/>
    </row>
    <row r="47" spans="1:30" ht="39.950000000000003" customHeight="1" x14ac:dyDescent="0.25">
      <c r="A47" s="19">
        <f t="shared" si="0"/>
        <v>35</v>
      </c>
      <c r="B47" s="92">
        <v>35</v>
      </c>
      <c r="C47" s="49" t="s">
        <v>333</v>
      </c>
      <c r="D47" s="75">
        <v>44378</v>
      </c>
      <c r="E47" s="391">
        <v>44379</v>
      </c>
      <c r="F47" s="258" t="s">
        <v>100</v>
      </c>
      <c r="G47" s="11">
        <v>26</v>
      </c>
      <c r="H47" s="78" t="s">
        <v>594</v>
      </c>
      <c r="I47" s="77" t="s">
        <v>44</v>
      </c>
      <c r="J47" s="76" t="s">
        <v>104</v>
      </c>
      <c r="K47" s="347" t="s">
        <v>45</v>
      </c>
      <c r="L47" s="69" t="s">
        <v>100</v>
      </c>
      <c r="M47" s="63"/>
      <c r="N47" s="106"/>
      <c r="O47" s="76" t="s">
        <v>100</v>
      </c>
      <c r="P47" s="69" t="s">
        <v>100</v>
      </c>
      <c r="Q47" s="390" t="s">
        <v>100</v>
      </c>
      <c r="R47" s="579" t="s">
        <v>608</v>
      </c>
      <c r="S47" s="580" t="s">
        <v>610</v>
      </c>
      <c r="T47" s="590" t="s">
        <v>206</v>
      </c>
      <c r="U47" s="581" t="s">
        <v>100</v>
      </c>
      <c r="V47" s="588" t="s">
        <v>22</v>
      </c>
      <c r="W47" s="589" t="s">
        <v>22</v>
      </c>
      <c r="X47" s="588" t="s">
        <v>22</v>
      </c>
      <c r="Y47" s="589" t="s">
        <v>22</v>
      </c>
      <c r="AB47" s="420"/>
      <c r="AC47" s="421"/>
      <c r="AD47" s="422"/>
    </row>
    <row r="48" spans="1:30" ht="39.950000000000003" customHeight="1" x14ac:dyDescent="0.25">
      <c r="A48" s="19">
        <f t="shared" si="0"/>
        <v>36</v>
      </c>
      <c r="B48" s="92">
        <v>36</v>
      </c>
      <c r="C48" s="49" t="s">
        <v>333</v>
      </c>
      <c r="D48" s="75">
        <v>44409</v>
      </c>
      <c r="E48" s="391">
        <v>44412</v>
      </c>
      <c r="F48" s="258" t="s">
        <v>104</v>
      </c>
      <c r="G48" s="11">
        <v>36</v>
      </c>
      <c r="H48" s="78" t="s">
        <v>58</v>
      </c>
      <c r="I48" s="77" t="s">
        <v>52</v>
      </c>
      <c r="J48" s="76" t="s">
        <v>104</v>
      </c>
      <c r="K48" s="347" t="s">
        <v>78</v>
      </c>
      <c r="L48" s="69" t="s">
        <v>104</v>
      </c>
      <c r="M48" s="63"/>
      <c r="N48" s="106"/>
      <c r="O48" s="76" t="s">
        <v>104</v>
      </c>
      <c r="P48" s="69" t="s">
        <v>104</v>
      </c>
      <c r="Q48" s="390" t="s">
        <v>104</v>
      </c>
      <c r="R48" s="579" t="s">
        <v>609</v>
      </c>
      <c r="S48" s="580" t="s">
        <v>611</v>
      </c>
      <c r="T48" s="590" t="s">
        <v>209</v>
      </c>
      <c r="U48" s="581" t="s">
        <v>104</v>
      </c>
      <c r="V48" s="588" t="s">
        <v>22</v>
      </c>
      <c r="W48" s="589" t="s">
        <v>22</v>
      </c>
      <c r="X48" s="588" t="s">
        <v>22</v>
      </c>
      <c r="Y48" s="589" t="s">
        <v>22</v>
      </c>
      <c r="AB48" s="420"/>
      <c r="AC48" s="421"/>
      <c r="AD48" s="422"/>
    </row>
    <row r="49" spans="1:30" ht="39.950000000000003" customHeight="1" x14ac:dyDescent="0.25">
      <c r="A49" s="19">
        <f t="shared" si="0"/>
        <v>37</v>
      </c>
      <c r="B49" s="92">
        <v>37</v>
      </c>
      <c r="C49" s="49" t="s">
        <v>333</v>
      </c>
      <c r="D49" s="75">
        <v>44075</v>
      </c>
      <c r="E49" s="391">
        <v>44077</v>
      </c>
      <c r="F49" s="258" t="s">
        <v>100</v>
      </c>
      <c r="G49" s="11">
        <v>46</v>
      </c>
      <c r="H49" s="78" t="s">
        <v>598</v>
      </c>
      <c r="I49" s="77" t="s">
        <v>37</v>
      </c>
      <c r="J49" s="76" t="s">
        <v>104</v>
      </c>
      <c r="K49" s="347" t="s">
        <v>38</v>
      </c>
      <c r="L49" s="69" t="s">
        <v>122</v>
      </c>
      <c r="M49" s="63"/>
      <c r="N49" s="106"/>
      <c r="O49" s="76" t="s">
        <v>100</v>
      </c>
      <c r="P49" s="69" t="s">
        <v>100</v>
      </c>
      <c r="Q49" s="390" t="s">
        <v>100</v>
      </c>
      <c r="R49" s="579" t="s">
        <v>607</v>
      </c>
      <c r="S49" s="580" t="s">
        <v>607</v>
      </c>
      <c r="T49" s="590" t="s">
        <v>194</v>
      </c>
      <c r="U49" s="581" t="s">
        <v>100</v>
      </c>
      <c r="V49" s="588" t="s">
        <v>22</v>
      </c>
      <c r="W49" s="589" t="s">
        <v>22</v>
      </c>
      <c r="X49" s="588" t="s">
        <v>22</v>
      </c>
      <c r="Y49" s="589" t="s">
        <v>22</v>
      </c>
      <c r="AB49" s="420"/>
      <c r="AC49" s="421"/>
      <c r="AD49" s="422"/>
    </row>
    <row r="50" spans="1:30" ht="39.950000000000003" customHeight="1" x14ac:dyDescent="0.25">
      <c r="A50" s="19">
        <f t="shared" si="0"/>
        <v>38</v>
      </c>
      <c r="B50" s="92">
        <v>38</v>
      </c>
      <c r="C50" s="49" t="s">
        <v>333</v>
      </c>
      <c r="D50" s="75">
        <v>44105</v>
      </c>
      <c r="E50" s="391">
        <v>44077</v>
      </c>
      <c r="F50" s="258" t="s">
        <v>104</v>
      </c>
      <c r="G50" s="11">
        <v>56</v>
      </c>
      <c r="H50" s="78" t="s">
        <v>599</v>
      </c>
      <c r="I50" s="77" t="s">
        <v>44</v>
      </c>
      <c r="J50" s="76" t="s">
        <v>104</v>
      </c>
      <c r="K50" s="347" t="s">
        <v>45</v>
      </c>
      <c r="L50" s="69" t="s">
        <v>100</v>
      </c>
      <c r="M50" s="63"/>
      <c r="N50" s="106"/>
      <c r="O50" s="76" t="s">
        <v>104</v>
      </c>
      <c r="P50" s="69" t="s">
        <v>104</v>
      </c>
      <c r="Q50" s="390" t="s">
        <v>104</v>
      </c>
      <c r="R50" s="579" t="s">
        <v>608</v>
      </c>
      <c r="S50" s="580" t="s">
        <v>610</v>
      </c>
      <c r="T50" s="590" t="s">
        <v>196</v>
      </c>
      <c r="U50" s="581" t="s">
        <v>104</v>
      </c>
      <c r="V50" s="588" t="s">
        <v>22</v>
      </c>
      <c r="W50" s="589" t="s">
        <v>22</v>
      </c>
      <c r="X50" s="588" t="s">
        <v>22</v>
      </c>
      <c r="Y50" s="589" t="s">
        <v>22</v>
      </c>
      <c r="AB50" s="420"/>
      <c r="AC50" s="421"/>
      <c r="AD50" s="422"/>
    </row>
    <row r="51" spans="1:30" ht="39.950000000000003" customHeight="1" x14ac:dyDescent="0.25">
      <c r="A51" s="19">
        <f t="shared" si="0"/>
        <v>39</v>
      </c>
      <c r="B51" s="92">
        <v>39</v>
      </c>
      <c r="C51" s="49" t="s">
        <v>333</v>
      </c>
      <c r="D51" s="75">
        <v>44136</v>
      </c>
      <c r="E51" s="391">
        <v>44137</v>
      </c>
      <c r="F51" s="258" t="s">
        <v>100</v>
      </c>
      <c r="G51" s="11">
        <v>66</v>
      </c>
      <c r="H51" s="78" t="s">
        <v>600</v>
      </c>
      <c r="I51" s="77" t="s">
        <v>52</v>
      </c>
      <c r="J51" s="76" t="s">
        <v>104</v>
      </c>
      <c r="K51" s="347" t="s">
        <v>78</v>
      </c>
      <c r="L51" s="69" t="s">
        <v>104</v>
      </c>
      <c r="M51" s="63"/>
      <c r="N51" s="106"/>
      <c r="O51" s="76" t="s">
        <v>100</v>
      </c>
      <c r="P51" s="69" t="s">
        <v>100</v>
      </c>
      <c r="Q51" s="390" t="s">
        <v>100</v>
      </c>
      <c r="R51" s="579" t="s">
        <v>609</v>
      </c>
      <c r="S51" s="580" t="s">
        <v>611</v>
      </c>
      <c r="T51" s="590" t="s">
        <v>198</v>
      </c>
      <c r="U51" s="581" t="s">
        <v>100</v>
      </c>
      <c r="V51" s="588" t="s">
        <v>22</v>
      </c>
      <c r="W51" s="589" t="s">
        <v>22</v>
      </c>
      <c r="X51" s="588" t="s">
        <v>22</v>
      </c>
      <c r="Y51" s="589" t="s">
        <v>22</v>
      </c>
      <c r="AB51" s="420"/>
      <c r="AC51" s="421"/>
      <c r="AD51" s="422"/>
    </row>
    <row r="52" spans="1:30" ht="39.950000000000003" customHeight="1" x14ac:dyDescent="0.25">
      <c r="A52" s="19">
        <f t="shared" si="0"/>
        <v>40</v>
      </c>
      <c r="B52" s="92">
        <v>40</v>
      </c>
      <c r="C52" s="49" t="s">
        <v>333</v>
      </c>
      <c r="D52" s="75">
        <v>44166</v>
      </c>
      <c r="E52" s="391">
        <v>44170</v>
      </c>
      <c r="F52" s="258" t="s">
        <v>104</v>
      </c>
      <c r="G52" s="11">
        <v>76</v>
      </c>
      <c r="H52" s="78" t="s">
        <v>68</v>
      </c>
      <c r="I52" s="77" t="s">
        <v>37</v>
      </c>
      <c r="J52" s="76" t="s">
        <v>104</v>
      </c>
      <c r="K52" s="347" t="s">
        <v>38</v>
      </c>
      <c r="L52" s="69" t="s">
        <v>122</v>
      </c>
      <c r="M52" s="63"/>
      <c r="N52" s="106"/>
      <c r="O52" s="76" t="s">
        <v>104</v>
      </c>
      <c r="P52" s="69" t="s">
        <v>104</v>
      </c>
      <c r="Q52" s="390" t="s">
        <v>104</v>
      </c>
      <c r="R52" s="579" t="s">
        <v>607</v>
      </c>
      <c r="S52" s="580" t="s">
        <v>607</v>
      </c>
      <c r="T52" s="590" t="s">
        <v>426</v>
      </c>
      <c r="U52" s="581" t="s">
        <v>104</v>
      </c>
      <c r="V52" s="588" t="s">
        <v>22</v>
      </c>
      <c r="W52" s="589" t="s">
        <v>22</v>
      </c>
      <c r="X52" s="588" t="s">
        <v>22</v>
      </c>
      <c r="Y52" s="589" t="s">
        <v>22</v>
      </c>
      <c r="AB52" s="420"/>
      <c r="AC52" s="421"/>
      <c r="AD52" s="422"/>
    </row>
    <row r="53" spans="1:30" ht="39.950000000000003" customHeight="1" x14ac:dyDescent="0.25">
      <c r="A53" s="19">
        <f t="shared" si="0"/>
        <v>41</v>
      </c>
      <c r="B53" s="92">
        <v>41</v>
      </c>
      <c r="C53" s="53" t="s">
        <v>333</v>
      </c>
      <c r="D53" s="75">
        <v>44197</v>
      </c>
      <c r="E53" s="391">
        <v>44201</v>
      </c>
      <c r="F53" s="258" t="s">
        <v>100</v>
      </c>
      <c r="G53" s="11">
        <v>11</v>
      </c>
      <c r="H53" s="78" t="s">
        <v>51</v>
      </c>
      <c r="I53" s="77" t="s">
        <v>37</v>
      </c>
      <c r="J53" s="76" t="s">
        <v>104</v>
      </c>
      <c r="K53" s="347" t="s">
        <v>45</v>
      </c>
      <c r="L53" s="69" t="s">
        <v>100</v>
      </c>
      <c r="M53" s="63"/>
      <c r="N53" s="106"/>
      <c r="O53" s="76" t="s">
        <v>100</v>
      </c>
      <c r="P53" s="69" t="s">
        <v>100</v>
      </c>
      <c r="Q53" s="390" t="s">
        <v>100</v>
      </c>
      <c r="R53" s="579" t="s">
        <v>607</v>
      </c>
      <c r="S53" s="580" t="s">
        <v>607</v>
      </c>
      <c r="T53" s="590" t="s">
        <v>202</v>
      </c>
      <c r="U53" s="581" t="s">
        <v>100</v>
      </c>
      <c r="V53" s="588" t="s">
        <v>22</v>
      </c>
      <c r="W53" s="589" t="s">
        <v>22</v>
      </c>
      <c r="X53" s="588" t="s">
        <v>22</v>
      </c>
      <c r="Y53" s="589" t="s">
        <v>22</v>
      </c>
      <c r="AB53" s="420"/>
      <c r="AC53" s="421"/>
      <c r="AD53" s="422"/>
    </row>
    <row r="54" spans="1:30" ht="39.950000000000003" customHeight="1" x14ac:dyDescent="0.25">
      <c r="A54" s="19">
        <f t="shared" si="0"/>
        <v>42</v>
      </c>
      <c r="B54" s="92">
        <v>42</v>
      </c>
      <c r="C54" s="49" t="s">
        <v>333</v>
      </c>
      <c r="D54" s="75">
        <v>44228</v>
      </c>
      <c r="E54" s="391">
        <v>44230</v>
      </c>
      <c r="F54" s="258" t="s">
        <v>104</v>
      </c>
      <c r="G54" s="11">
        <v>14</v>
      </c>
      <c r="H54" s="78" t="s">
        <v>594</v>
      </c>
      <c r="I54" s="77" t="s">
        <v>44</v>
      </c>
      <c r="J54" s="76" t="s">
        <v>104</v>
      </c>
      <c r="K54" s="347" t="s">
        <v>78</v>
      </c>
      <c r="L54" s="69" t="s">
        <v>104</v>
      </c>
      <c r="M54" s="63"/>
      <c r="N54" s="106"/>
      <c r="O54" s="76" t="s">
        <v>104</v>
      </c>
      <c r="P54" s="69" t="s">
        <v>104</v>
      </c>
      <c r="Q54" s="390" t="s">
        <v>104</v>
      </c>
      <c r="R54" s="579" t="s">
        <v>608</v>
      </c>
      <c r="S54" s="580" t="s">
        <v>610</v>
      </c>
      <c r="T54" s="590" t="s">
        <v>202</v>
      </c>
      <c r="U54" s="581" t="s">
        <v>104</v>
      </c>
      <c r="V54" s="588" t="s">
        <v>22</v>
      </c>
      <c r="W54" s="589" t="s">
        <v>22</v>
      </c>
      <c r="X54" s="588" t="s">
        <v>22</v>
      </c>
      <c r="Y54" s="589" t="s">
        <v>22</v>
      </c>
      <c r="AB54" s="420"/>
      <c r="AC54" s="421"/>
      <c r="AD54" s="422"/>
    </row>
    <row r="55" spans="1:30" ht="39.950000000000003" customHeight="1" x14ac:dyDescent="0.25">
      <c r="A55" s="19">
        <f t="shared" si="0"/>
        <v>43</v>
      </c>
      <c r="B55" s="92">
        <v>43</v>
      </c>
      <c r="C55" s="49" t="s">
        <v>333</v>
      </c>
      <c r="D55" s="75">
        <v>44256</v>
      </c>
      <c r="E55" s="391">
        <v>44259</v>
      </c>
      <c r="F55" s="258" t="s">
        <v>100</v>
      </c>
      <c r="G55" s="11">
        <v>19</v>
      </c>
      <c r="H55" s="78" t="s">
        <v>58</v>
      </c>
      <c r="I55" s="77" t="s">
        <v>52</v>
      </c>
      <c r="J55" s="76" t="s">
        <v>104</v>
      </c>
      <c r="K55" s="347" t="s">
        <v>38</v>
      </c>
      <c r="L55" s="69" t="s">
        <v>122</v>
      </c>
      <c r="M55" s="63"/>
      <c r="N55" s="106"/>
      <c r="O55" s="76" t="s">
        <v>100</v>
      </c>
      <c r="P55" s="69" t="s">
        <v>100</v>
      </c>
      <c r="Q55" s="390" t="s">
        <v>100</v>
      </c>
      <c r="R55" s="579" t="s">
        <v>609</v>
      </c>
      <c r="S55" s="580" t="s">
        <v>611</v>
      </c>
      <c r="T55" s="590" t="s">
        <v>205</v>
      </c>
      <c r="U55" s="581" t="s">
        <v>100</v>
      </c>
      <c r="V55" s="588" t="s">
        <v>22</v>
      </c>
      <c r="W55" s="589" t="s">
        <v>22</v>
      </c>
      <c r="X55" s="588" t="s">
        <v>22</v>
      </c>
      <c r="Y55" s="589" t="s">
        <v>22</v>
      </c>
      <c r="AB55" s="420"/>
      <c r="AC55" s="421"/>
      <c r="AD55" s="422"/>
    </row>
    <row r="56" spans="1:30" ht="39.950000000000003" customHeight="1" x14ac:dyDescent="0.25">
      <c r="A56" s="19">
        <f t="shared" si="0"/>
        <v>44</v>
      </c>
      <c r="B56" s="92">
        <v>44</v>
      </c>
      <c r="C56" s="49" t="s">
        <v>333</v>
      </c>
      <c r="D56" s="75">
        <v>44287</v>
      </c>
      <c r="E56" s="391">
        <v>44291</v>
      </c>
      <c r="F56" s="258" t="s">
        <v>104</v>
      </c>
      <c r="G56" s="11">
        <v>22</v>
      </c>
      <c r="H56" s="78" t="s">
        <v>598</v>
      </c>
      <c r="I56" s="77" t="s">
        <v>37</v>
      </c>
      <c r="J56" s="76" t="s">
        <v>104</v>
      </c>
      <c r="K56" s="347" t="s">
        <v>45</v>
      </c>
      <c r="L56" s="69" t="s">
        <v>100</v>
      </c>
      <c r="M56" s="63"/>
      <c r="N56" s="106"/>
      <c r="O56" s="76" t="s">
        <v>104</v>
      </c>
      <c r="P56" s="69" t="s">
        <v>104</v>
      </c>
      <c r="Q56" s="390" t="s">
        <v>104</v>
      </c>
      <c r="R56" s="579" t="s">
        <v>607</v>
      </c>
      <c r="S56" s="580" t="s">
        <v>607</v>
      </c>
      <c r="T56" s="590" t="s">
        <v>206</v>
      </c>
      <c r="U56" s="581" t="s">
        <v>104</v>
      </c>
      <c r="V56" s="588" t="s">
        <v>22</v>
      </c>
      <c r="W56" s="589" t="s">
        <v>22</v>
      </c>
      <c r="X56" s="588" t="s">
        <v>22</v>
      </c>
      <c r="Y56" s="589" t="s">
        <v>22</v>
      </c>
      <c r="AB56" s="420"/>
      <c r="AC56" s="421"/>
      <c r="AD56" s="422"/>
    </row>
    <row r="57" spans="1:30" ht="39.950000000000003" customHeight="1" x14ac:dyDescent="0.25">
      <c r="A57" s="19">
        <f t="shared" si="0"/>
        <v>45</v>
      </c>
      <c r="B57" s="92">
        <v>45</v>
      </c>
      <c r="C57" s="49" t="s">
        <v>333</v>
      </c>
      <c r="D57" s="75">
        <v>44317</v>
      </c>
      <c r="E57" s="391">
        <v>44319</v>
      </c>
      <c r="F57" s="258" t="s">
        <v>100</v>
      </c>
      <c r="G57" s="11">
        <v>26</v>
      </c>
      <c r="H57" s="78" t="s">
        <v>599</v>
      </c>
      <c r="I57" s="77" t="s">
        <v>44</v>
      </c>
      <c r="J57" s="76" t="s">
        <v>104</v>
      </c>
      <c r="K57" s="347" t="s">
        <v>78</v>
      </c>
      <c r="L57" s="69" t="s">
        <v>104</v>
      </c>
      <c r="M57" s="63"/>
      <c r="N57" s="106"/>
      <c r="O57" s="76" t="s">
        <v>100</v>
      </c>
      <c r="P57" s="69" t="s">
        <v>100</v>
      </c>
      <c r="Q57" s="390" t="s">
        <v>100</v>
      </c>
      <c r="R57" s="579" t="s">
        <v>608</v>
      </c>
      <c r="S57" s="580" t="s">
        <v>610</v>
      </c>
      <c r="T57" s="590" t="s">
        <v>209</v>
      </c>
      <c r="U57" s="581" t="s">
        <v>100</v>
      </c>
      <c r="V57" s="588" t="s">
        <v>22</v>
      </c>
      <c r="W57" s="589" t="s">
        <v>22</v>
      </c>
      <c r="X57" s="588" t="s">
        <v>22</v>
      </c>
      <c r="Y57" s="589" t="s">
        <v>22</v>
      </c>
      <c r="AB57" s="420"/>
      <c r="AC57" s="421"/>
      <c r="AD57" s="422"/>
    </row>
    <row r="58" spans="1:30" ht="39.950000000000003" customHeight="1" x14ac:dyDescent="0.25">
      <c r="A58" s="19">
        <f t="shared" si="0"/>
        <v>46</v>
      </c>
      <c r="B58" s="92">
        <v>46</v>
      </c>
      <c r="C58" s="49" t="s">
        <v>333</v>
      </c>
      <c r="D58" s="75">
        <v>44348</v>
      </c>
      <c r="E58" s="391">
        <v>44351</v>
      </c>
      <c r="F58" s="258" t="s">
        <v>104</v>
      </c>
      <c r="G58" s="11">
        <v>36</v>
      </c>
      <c r="H58" s="78" t="s">
        <v>600</v>
      </c>
      <c r="I58" s="77" t="s">
        <v>52</v>
      </c>
      <c r="J58" s="76" t="s">
        <v>104</v>
      </c>
      <c r="K58" s="347" t="s">
        <v>38</v>
      </c>
      <c r="L58" s="69" t="s">
        <v>122</v>
      </c>
      <c r="M58" s="63"/>
      <c r="N58" s="106"/>
      <c r="O58" s="76" t="s">
        <v>104</v>
      </c>
      <c r="P58" s="69" t="s">
        <v>104</v>
      </c>
      <c r="Q58" s="390" t="s">
        <v>104</v>
      </c>
      <c r="R58" s="579" t="s">
        <v>609</v>
      </c>
      <c r="S58" s="580" t="s">
        <v>611</v>
      </c>
      <c r="T58" s="590" t="s">
        <v>194</v>
      </c>
      <c r="U58" s="581" t="s">
        <v>104</v>
      </c>
      <c r="V58" s="588" t="s">
        <v>22</v>
      </c>
      <c r="W58" s="589" t="s">
        <v>22</v>
      </c>
      <c r="X58" s="588" t="s">
        <v>22</v>
      </c>
      <c r="Y58" s="589" t="s">
        <v>22</v>
      </c>
      <c r="AB58" s="420"/>
      <c r="AC58" s="421"/>
      <c r="AD58" s="422"/>
    </row>
    <row r="59" spans="1:30" ht="39.950000000000003" customHeight="1" x14ac:dyDescent="0.25">
      <c r="A59" s="19">
        <f t="shared" si="0"/>
        <v>47</v>
      </c>
      <c r="B59" s="92">
        <v>47</v>
      </c>
      <c r="C59" s="49" t="s">
        <v>333</v>
      </c>
      <c r="D59" s="75">
        <v>44378</v>
      </c>
      <c r="E59" s="391">
        <v>44379</v>
      </c>
      <c r="F59" s="258" t="s">
        <v>100</v>
      </c>
      <c r="G59" s="11">
        <v>46</v>
      </c>
      <c r="H59" s="78" t="s">
        <v>68</v>
      </c>
      <c r="I59" s="77" t="s">
        <v>37</v>
      </c>
      <c r="J59" s="76" t="s">
        <v>104</v>
      </c>
      <c r="K59" s="347" t="s">
        <v>45</v>
      </c>
      <c r="L59" s="69" t="s">
        <v>100</v>
      </c>
      <c r="M59" s="63"/>
      <c r="N59" s="106"/>
      <c r="O59" s="76" t="s">
        <v>100</v>
      </c>
      <c r="P59" s="69" t="s">
        <v>100</v>
      </c>
      <c r="Q59" s="390" t="s">
        <v>100</v>
      </c>
      <c r="R59" s="579" t="s">
        <v>607</v>
      </c>
      <c r="S59" s="580" t="s">
        <v>607</v>
      </c>
      <c r="T59" s="590" t="s">
        <v>196</v>
      </c>
      <c r="U59" s="581" t="s">
        <v>100</v>
      </c>
      <c r="V59" s="588" t="s">
        <v>22</v>
      </c>
      <c r="W59" s="589" t="s">
        <v>22</v>
      </c>
      <c r="X59" s="588" t="s">
        <v>22</v>
      </c>
      <c r="Y59" s="589" t="s">
        <v>22</v>
      </c>
      <c r="AB59" s="420"/>
      <c r="AC59" s="421"/>
      <c r="AD59" s="422"/>
    </row>
    <row r="60" spans="1:30" ht="39.950000000000003" customHeight="1" x14ac:dyDescent="0.25">
      <c r="A60" s="19">
        <f t="shared" si="0"/>
        <v>48</v>
      </c>
      <c r="B60" s="92">
        <v>48</v>
      </c>
      <c r="C60" s="49" t="s">
        <v>333</v>
      </c>
      <c r="D60" s="75">
        <v>44409</v>
      </c>
      <c r="E60" s="391">
        <v>44412</v>
      </c>
      <c r="F60" s="258" t="s">
        <v>104</v>
      </c>
      <c r="G60" s="11">
        <v>56</v>
      </c>
      <c r="H60" s="78" t="s">
        <v>51</v>
      </c>
      <c r="I60" s="77" t="s">
        <v>44</v>
      </c>
      <c r="J60" s="76" t="s">
        <v>104</v>
      </c>
      <c r="K60" s="347" t="s">
        <v>78</v>
      </c>
      <c r="L60" s="69" t="s">
        <v>104</v>
      </c>
      <c r="M60" s="63"/>
      <c r="N60" s="106"/>
      <c r="O60" s="76" t="s">
        <v>104</v>
      </c>
      <c r="P60" s="69" t="s">
        <v>104</v>
      </c>
      <c r="Q60" s="390" t="s">
        <v>104</v>
      </c>
      <c r="R60" s="579" t="s">
        <v>608</v>
      </c>
      <c r="S60" s="580" t="s">
        <v>610</v>
      </c>
      <c r="T60" s="590" t="s">
        <v>198</v>
      </c>
      <c r="U60" s="581" t="s">
        <v>104</v>
      </c>
      <c r="V60" s="588" t="s">
        <v>22</v>
      </c>
      <c r="W60" s="589" t="s">
        <v>22</v>
      </c>
      <c r="X60" s="588" t="s">
        <v>22</v>
      </c>
      <c r="Y60" s="589" t="s">
        <v>22</v>
      </c>
      <c r="AB60" s="420"/>
      <c r="AC60" s="421"/>
      <c r="AD60" s="422"/>
    </row>
    <row r="61" spans="1:30" ht="39.950000000000003" customHeight="1" x14ac:dyDescent="0.25">
      <c r="A61" s="19">
        <f t="shared" si="0"/>
        <v>49</v>
      </c>
      <c r="B61" s="92">
        <v>49</v>
      </c>
      <c r="C61" s="49" t="s">
        <v>333</v>
      </c>
      <c r="D61" s="75">
        <v>44075</v>
      </c>
      <c r="E61" s="391">
        <v>44076</v>
      </c>
      <c r="F61" s="258" t="s">
        <v>100</v>
      </c>
      <c r="G61" s="11">
        <v>66</v>
      </c>
      <c r="H61" s="78" t="s">
        <v>594</v>
      </c>
      <c r="I61" s="77" t="s">
        <v>52</v>
      </c>
      <c r="J61" s="76" t="s">
        <v>104</v>
      </c>
      <c r="K61" s="347" t="s">
        <v>38</v>
      </c>
      <c r="L61" s="69" t="s">
        <v>122</v>
      </c>
      <c r="M61" s="63"/>
      <c r="N61" s="106"/>
      <c r="O61" s="76" t="s">
        <v>100</v>
      </c>
      <c r="P61" s="69" t="s">
        <v>100</v>
      </c>
      <c r="Q61" s="390" t="s">
        <v>100</v>
      </c>
      <c r="R61" s="579" t="s">
        <v>609</v>
      </c>
      <c r="S61" s="580" t="s">
        <v>611</v>
      </c>
      <c r="T61" s="590" t="s">
        <v>426</v>
      </c>
      <c r="U61" s="581" t="s">
        <v>100</v>
      </c>
      <c r="V61" s="588" t="s">
        <v>22</v>
      </c>
      <c r="W61" s="589" t="s">
        <v>22</v>
      </c>
      <c r="X61" s="588" t="s">
        <v>22</v>
      </c>
      <c r="Y61" s="589" t="s">
        <v>22</v>
      </c>
      <c r="AB61" s="420"/>
      <c r="AC61" s="421"/>
      <c r="AD61" s="422"/>
    </row>
    <row r="62" spans="1:30" ht="39.950000000000003" customHeight="1" x14ac:dyDescent="0.25">
      <c r="A62" s="19">
        <f t="shared" si="0"/>
        <v>50</v>
      </c>
      <c r="B62" s="92">
        <v>50</v>
      </c>
      <c r="C62" s="49" t="s">
        <v>333</v>
      </c>
      <c r="D62" s="75">
        <v>44105</v>
      </c>
      <c r="E62" s="391">
        <v>44139</v>
      </c>
      <c r="F62" s="258" t="s">
        <v>104</v>
      </c>
      <c r="G62" s="11">
        <v>76</v>
      </c>
      <c r="H62" s="78" t="s">
        <v>58</v>
      </c>
      <c r="I62" s="77" t="s">
        <v>37</v>
      </c>
      <c r="J62" s="76" t="s">
        <v>104</v>
      </c>
      <c r="K62" s="347" t="s">
        <v>78</v>
      </c>
      <c r="L62" s="69" t="s">
        <v>104</v>
      </c>
      <c r="M62" s="63"/>
      <c r="N62" s="106"/>
      <c r="O62" s="76" t="s">
        <v>104</v>
      </c>
      <c r="P62" s="69" t="s">
        <v>104</v>
      </c>
      <c r="Q62" s="390" t="s">
        <v>104</v>
      </c>
      <c r="R62" s="579" t="s">
        <v>607</v>
      </c>
      <c r="S62" s="580" t="s">
        <v>607</v>
      </c>
      <c r="T62" s="590" t="s">
        <v>202</v>
      </c>
      <c r="U62" s="581" t="s">
        <v>104</v>
      </c>
      <c r="V62" s="588" t="s">
        <v>22</v>
      </c>
      <c r="W62" s="589" t="s">
        <v>22</v>
      </c>
      <c r="X62" s="588" t="s">
        <v>22</v>
      </c>
      <c r="Y62" s="589" t="s">
        <v>22</v>
      </c>
      <c r="AB62" s="420"/>
      <c r="AC62" s="421"/>
      <c r="AD62" s="422"/>
    </row>
    <row r="63" spans="1:30" x14ac:dyDescent="0.25">
      <c r="G63" s="297"/>
      <c r="H63" s="576"/>
      <c r="I63" s="297"/>
      <c r="S63" s="297"/>
      <c r="T63" s="591"/>
      <c r="U63" s="297"/>
    </row>
    <row r="64" spans="1:30" x14ac:dyDescent="0.25">
      <c r="H64" s="577"/>
      <c r="T64" s="592"/>
    </row>
    <row r="65" spans="2:20" x14ac:dyDescent="0.25">
      <c r="H65" s="577"/>
      <c r="T65" s="592"/>
    </row>
    <row r="66" spans="2:20" x14ac:dyDescent="0.25">
      <c r="B66" s="367"/>
      <c r="H66" s="577"/>
      <c r="T66" s="592"/>
    </row>
    <row r="67" spans="2:20" x14ac:dyDescent="0.25">
      <c r="B67" s="368"/>
      <c r="H67" s="577"/>
    </row>
    <row r="68" spans="2:20" x14ac:dyDescent="0.25">
      <c r="B68" s="368"/>
      <c r="H68" s="577"/>
    </row>
    <row r="69" spans="2:20" x14ac:dyDescent="0.25">
      <c r="B69" s="368"/>
      <c r="H69" s="577"/>
    </row>
    <row r="70" spans="2:20" x14ac:dyDescent="0.25">
      <c r="B70" s="368"/>
      <c r="H70" s="577"/>
    </row>
    <row r="71" spans="2:20" x14ac:dyDescent="0.25">
      <c r="B71" s="368"/>
      <c r="H71" s="577"/>
    </row>
    <row r="72" spans="2:20" x14ac:dyDescent="0.25">
      <c r="B72" s="368"/>
      <c r="H72" s="577"/>
    </row>
    <row r="73" spans="2:20" x14ac:dyDescent="0.25">
      <c r="B73" s="368"/>
      <c r="H73" s="577"/>
    </row>
    <row r="74" spans="2:20" x14ac:dyDescent="0.25">
      <c r="B74" s="368"/>
      <c r="H74" s="577"/>
    </row>
    <row r="75" spans="2:20" x14ac:dyDescent="0.25">
      <c r="B75" s="368"/>
      <c r="H75" s="577"/>
    </row>
    <row r="76" spans="2:20" x14ac:dyDescent="0.25">
      <c r="B76" s="368"/>
    </row>
    <row r="77" spans="2:20" ht="15.75" x14ac:dyDescent="0.25">
      <c r="B77" s="369"/>
    </row>
  </sheetData>
  <mergeCells count="24">
    <mergeCell ref="A11:O11"/>
    <mergeCell ref="V11:Y11"/>
    <mergeCell ref="A6:D6"/>
    <mergeCell ref="A7:D7"/>
    <mergeCell ref="A10:D10"/>
    <mergeCell ref="A8:D9"/>
    <mergeCell ref="I9:L9"/>
    <mergeCell ref="E10:G10"/>
    <mergeCell ref="E6:H6"/>
    <mergeCell ref="E7:H7"/>
    <mergeCell ref="E8:H9"/>
    <mergeCell ref="I10:L10"/>
    <mergeCell ref="I6:L6"/>
    <mergeCell ref="I7:L7"/>
    <mergeCell ref="I8:L8"/>
    <mergeCell ref="M9:O9"/>
    <mergeCell ref="A2:O2"/>
    <mergeCell ref="A3:O3"/>
    <mergeCell ref="A4:O4"/>
    <mergeCell ref="M10:O10"/>
    <mergeCell ref="A5:P5"/>
    <mergeCell ref="M6:O6"/>
    <mergeCell ref="M7:O7"/>
    <mergeCell ref="M8:O8"/>
  </mergeCells>
  <conditionalFormatting sqref="K13:L62">
    <cfRule type="expression" dxfId="34" priority="2">
      <formula>$K13="Female"</formula>
    </cfRule>
  </conditionalFormatting>
  <conditionalFormatting sqref="L13:N62">
    <cfRule type="expression" dxfId="33" priority="3">
      <formula>$L13="YES"</formula>
    </cfRule>
  </conditionalFormatting>
  <conditionalFormatting sqref="AB13:AD62">
    <cfRule type="expression" dxfId="32" priority="1">
      <formula>$Z13="YES"</formula>
    </cfRule>
  </conditionalFormatting>
  <dataValidations count="5">
    <dataValidation type="custom" allowBlank="1" showInputMessage="1" showErrorMessage="1" prompt="Internal Client I.D.  Use alphabet and/or number characters only. Limit to 15 characters. Needs to match GPRA. " sqref="C13:C62" xr:uid="{B9011F9D-B12A-43CD-AFC7-F7E4D8395CE9}">
      <formula1>AND(ISNUMBER(SUMPRODUCT(SEARCH(MID(C13,ROW(INDIRECT("1:15"&amp;LEN(C13))),1),"0123456789ABCDEFGHIJKLMNOPQRSTUVWXYZ"))),LEN(C13)&lt;=15)</formula1>
    </dataValidation>
    <dataValidation allowBlank="1" showInputMessage="1" showErrorMessage="1" prompt="Use MM/DD/YYYY format (00/00/0000). Leave blank until the date is needed. " sqref="D13:E62" xr:uid="{040C3F8A-3FF8-40D7-8994-4A273147D366}"/>
    <dataValidation type="whole" allowBlank="1" showInputMessage="1" showErrorMessage="1" prompt="Use number; Do not use alphabet. " sqref="G13:G62" xr:uid="{07E2AD1B-0CAA-483D-8938-D39F9B6C8C11}">
      <formula1>0</formula1>
      <formula2>150</formula2>
    </dataValidation>
    <dataValidation allowBlank="1" showInputMessage="1" showErrorMessage="1" prompt="For Grantee's own use. Do not send any identifying information with report. " sqref="B13:B62" xr:uid="{532BE37A-F5E8-4ADC-836E-4EB01EBC716A}"/>
    <dataValidation allowBlank="1" showInputMessage="1" showErrorMessage="1" prompt="Use MM/DD/YYYY (00/00/0000) format. " sqref="M13:N62" xr:uid="{FBB8C0FF-59D8-45CC-987C-66E2DC71337D}"/>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10">
        <x14:dataValidation type="list" allowBlank="1" showInputMessage="1" showErrorMessage="1" xr:uid="{5DAC398F-ECA7-46F2-B7DB-907E159EA065}">
          <x14:formula1>
            <xm:f>'Pick List '!$A$4:$A$15</xm:f>
          </x14:formula1>
          <xm:sqref>E10:F10</xm:sqref>
        </x14:dataValidation>
        <x14:dataValidation type="list" allowBlank="1" showInputMessage="1" showErrorMessage="1" prompt="If Yes is selected must complete Column L &amp; Column M " xr:uid="{1153A193-CE47-4A86-B20D-143948A49CC3}">
          <x14:formula1>
            <xm:f>'Pick List '!$E$20:$E$22</xm:f>
          </x14:formula1>
          <xm:sqref>L13:L62</xm:sqref>
        </x14:dataValidation>
        <x14:dataValidation type="list" allowBlank="1" showInputMessage="1" showErrorMessage="1" prompt="Choose an option from drop-down box" xr:uid="{DFB20E08-8916-46AA-BFD8-39D3B2BEADA9}">
          <x14:formula1>
            <xm:f>'Pick List '!$G$15:$G$16</xm:f>
          </x14:formula1>
          <xm:sqref>O13:Q62 J13:J62 U13:U62</xm:sqref>
        </x14:dataValidation>
        <x14:dataValidation type="list" allowBlank="1" showInputMessage="1" showErrorMessage="1" xr:uid="{7636B8B6-FA09-4710-B8DA-C62B3E981BFE}">
          <x14:formula1>
            <xm:f>'Pick List '!$G$154:$G$160</xm:f>
          </x14:formula1>
          <xm:sqref>H13:H75</xm:sqref>
        </x14:dataValidation>
        <x14:dataValidation type="list" allowBlank="1" showInputMessage="1" showErrorMessage="1" prompt="Choose an option from drop-down box" xr:uid="{734CDD09-C278-421D-B1B7-AD854D863D7D}">
          <x14:formula1>
            <xm:f>'Pick List '!$I$4:$I$6</xm:f>
          </x14:formula1>
          <xm:sqref>I13:I62</xm:sqref>
        </x14:dataValidation>
        <x14:dataValidation type="list" allowBlank="1" showInputMessage="1" showErrorMessage="1" prompt="If female must choose either YES or NO" xr:uid="{BFA5C376-DA61-4F09-9957-8E6E93DDBBE4}">
          <x14:formula1>
            <xm:f>'Pick List '!$L$4:$L$6</xm:f>
          </x14:formula1>
          <xm:sqref>K13:K62</xm:sqref>
        </x14:dataValidation>
        <x14:dataValidation type="list" allowBlank="1" showInputMessage="1" showErrorMessage="1" xr:uid="{6C8AA22B-63B3-40AE-9AD6-B3810A8A52B0}">
          <x14:formula1>
            <xm:f>'Pick List '!$G$15:$G$16</xm:f>
          </x14:formula1>
          <xm:sqref>Q13:Q62 F13:F62</xm:sqref>
        </x14:dataValidation>
        <x14:dataValidation type="list" allowBlank="1" showInputMessage="1" showErrorMessage="1" xr:uid="{EFE5BC32-F7AD-46B7-B7B7-65DA217E037F}">
          <x14:formula1>
            <xm:f>'Pick List '!$O$154:$O$156</xm:f>
          </x14:formula1>
          <xm:sqref>R13:R62</xm:sqref>
        </x14:dataValidation>
        <x14:dataValidation type="list" allowBlank="1" showInputMessage="1" showErrorMessage="1" xr:uid="{B622E866-78BB-483C-875B-427D0678CE72}">
          <x14:formula1>
            <xm:f>'Pick List '!$Q$154:$Q$156</xm:f>
          </x14:formula1>
          <xm:sqref>S13:S62</xm:sqref>
        </x14:dataValidation>
        <x14:dataValidation type="list" allowBlank="1" showInputMessage="1" showErrorMessage="1" xr:uid="{42A261AB-53C5-4496-89AB-140D7C2A1848}">
          <x14:formula1>
            <xm:f>'Pick List '!$G$115:$G$123</xm:f>
          </x14:formula1>
          <xm:sqref>T13:T66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36D70-C698-4448-A1F4-D11C61468A51}">
  <sheetPr>
    <tabColor theme="5" tint="0.39997558519241921"/>
  </sheetPr>
  <dimension ref="A1:AI72"/>
  <sheetViews>
    <sheetView workbookViewId="0">
      <pane ySplit="1" topLeftCell="A2" activePane="bottomLeft" state="frozen"/>
      <selection activeCell="D1" sqref="D1"/>
      <selection pane="bottomLeft" activeCell="M13" sqref="M13"/>
    </sheetView>
  </sheetViews>
  <sheetFormatPr defaultRowHeight="15" x14ac:dyDescent="0.25"/>
  <cols>
    <col min="1" max="1" width="5.28515625" customWidth="1"/>
    <col min="2" max="2" width="13.85546875" customWidth="1"/>
    <col min="3" max="3" width="10.85546875" customWidth="1"/>
    <col min="4" max="4" width="12.42578125" customWidth="1"/>
    <col min="5" max="5" width="14.28515625" customWidth="1"/>
    <col min="6" max="6" width="14.42578125" customWidth="1"/>
    <col min="7" max="7" width="12.28515625" customWidth="1"/>
    <col min="8" max="8" width="16.85546875" customWidth="1"/>
    <col min="9" max="9" width="15.5703125" customWidth="1"/>
    <col min="10" max="10" width="13.85546875" customWidth="1"/>
    <col min="11" max="11" width="12.5703125" customWidth="1"/>
    <col min="12" max="12" width="30.5703125" customWidth="1"/>
    <col min="13" max="13" width="12.42578125" customWidth="1"/>
  </cols>
  <sheetData>
    <row r="1" spans="1:35" ht="69.95" customHeight="1" x14ac:dyDescent="0.25">
      <c r="A1" s="13" t="s">
        <v>245</v>
      </c>
      <c r="B1" s="98" t="s">
        <v>336</v>
      </c>
      <c r="C1" s="99" t="s">
        <v>337</v>
      </c>
      <c r="D1" s="98" t="s">
        <v>527</v>
      </c>
      <c r="E1" s="99" t="s">
        <v>782</v>
      </c>
      <c r="F1" s="734" t="s">
        <v>301</v>
      </c>
      <c r="G1" s="736" t="s">
        <v>774</v>
      </c>
      <c r="H1" s="87" t="s">
        <v>778</v>
      </c>
      <c r="I1" s="184" t="s">
        <v>529</v>
      </c>
      <c r="J1" s="740" t="s">
        <v>779</v>
      </c>
      <c r="K1" s="1117" t="s">
        <v>783</v>
      </c>
      <c r="L1" s="1118"/>
    </row>
    <row r="2" spans="1:35"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4"/>
    </row>
    <row r="3" spans="1:35" ht="15.75" x14ac:dyDescent="0.25">
      <c r="A3" s="1105" t="str">
        <f>'BASE GRANTEE INFO &amp; UPDATES'!A2</f>
        <v>FISCAL YEAR: 2025 (09/30/2024 - 09/29/2025)</v>
      </c>
      <c r="B3" s="1106"/>
      <c r="C3" s="1106"/>
      <c r="D3" s="1106"/>
      <c r="E3" s="1106"/>
      <c r="F3" s="1106"/>
      <c r="G3" s="1106"/>
      <c r="H3" s="1106"/>
      <c r="I3" s="1106"/>
      <c r="J3" s="1106"/>
      <c r="K3" s="1106"/>
      <c r="L3" s="1107"/>
    </row>
    <row r="4" spans="1:35" ht="15.75" x14ac:dyDescent="0.25">
      <c r="A4" s="1108" t="str">
        <f>'BASE GRANTEE INFO &amp; UPDATES'!A3</f>
        <v xml:space="preserve">Program reports need to be submitted electronically, via e-mail to BBHReporting@wv.gov  within 25 calendar days of the end of each month </v>
      </c>
      <c r="B4" s="1109"/>
      <c r="C4" s="1109"/>
      <c r="D4" s="1109"/>
      <c r="E4" s="1109"/>
      <c r="F4" s="1109"/>
      <c r="G4" s="1109"/>
      <c r="H4" s="1109"/>
      <c r="I4" s="1109"/>
      <c r="J4" s="1109"/>
      <c r="K4" s="1109"/>
      <c r="L4" s="1110"/>
    </row>
    <row r="5" spans="1:35" ht="18.75" x14ac:dyDescent="0.25">
      <c r="A5" s="1111" t="s">
        <v>653</v>
      </c>
      <c r="B5" s="1112"/>
      <c r="C5" s="1112"/>
      <c r="D5" s="1112"/>
      <c r="E5" s="1112"/>
      <c r="F5" s="1112"/>
      <c r="G5" s="1112"/>
      <c r="H5" s="1112"/>
      <c r="I5" s="1112"/>
      <c r="J5" s="1112"/>
      <c r="K5" s="1112"/>
      <c r="L5" s="1112"/>
    </row>
    <row r="6" spans="1:35" ht="15" customHeight="1" x14ac:dyDescent="0.25">
      <c r="A6" s="1113" t="s">
        <v>0</v>
      </c>
      <c r="B6" s="1114"/>
      <c r="C6" s="1114"/>
      <c r="D6" s="1115"/>
      <c r="E6" s="1119" t="str">
        <f>'BASE GRANTEE INFO &amp; UPDATES'!E5</f>
        <v xml:space="preserve">Community Anti-Drug Coalitions of America (CADCA) and Teen Court </v>
      </c>
      <c r="F6" s="1119"/>
      <c r="G6" s="1119"/>
      <c r="H6" s="1119"/>
      <c r="I6" s="1116" t="s">
        <v>1</v>
      </c>
      <c r="J6" s="1116"/>
      <c r="K6" s="1116"/>
      <c r="L6" s="730">
        <f>'BASE GRANTEE INFO &amp; UPDATES'!M5</f>
        <v>0</v>
      </c>
      <c r="AE6" s="125"/>
      <c r="AF6" s="93"/>
      <c r="AG6" s="93"/>
      <c r="AH6" s="93"/>
      <c r="AI6" s="93"/>
    </row>
    <row r="7" spans="1:35" x14ac:dyDescent="0.25">
      <c r="A7" s="1113" t="s">
        <v>2</v>
      </c>
      <c r="B7" s="1114"/>
      <c r="C7" s="1114"/>
      <c r="D7" s="1115"/>
      <c r="E7" s="1120" t="str">
        <f>'BASE GRANTEE INFO &amp; UPDATES'!E6</f>
        <v>CADCA In Action and Teen Court</v>
      </c>
      <c r="F7" s="1120"/>
      <c r="G7" s="1120"/>
      <c r="H7" s="1120"/>
      <c r="I7" s="1116" t="s">
        <v>3</v>
      </c>
      <c r="J7" s="1116"/>
      <c r="K7" s="1116"/>
      <c r="L7" s="730">
        <f>'BASE GRANTEE INFO &amp; UPDATES'!M6</f>
        <v>0</v>
      </c>
      <c r="AE7" s="125"/>
      <c r="AF7" s="93"/>
      <c r="AG7" s="93"/>
      <c r="AH7" s="93"/>
      <c r="AI7" s="93"/>
    </row>
    <row r="8" spans="1:35" ht="15" customHeight="1" x14ac:dyDescent="0.25">
      <c r="A8" s="1126" t="s">
        <v>4</v>
      </c>
      <c r="B8" s="1127"/>
      <c r="C8" s="1127"/>
      <c r="D8" s="1128"/>
      <c r="E8" s="1132">
        <f>'BASE GRANTEE INFO &amp; UPDATES'!E7</f>
        <v>0</v>
      </c>
      <c r="F8" s="1133"/>
      <c r="G8" s="1133"/>
      <c r="H8" s="1134"/>
      <c r="I8" s="1116" t="s">
        <v>374</v>
      </c>
      <c r="J8" s="1116"/>
      <c r="K8" s="1116"/>
      <c r="L8" s="730">
        <f>'BASE GRANTEE INFO &amp; UPDATES'!M7</f>
        <v>0</v>
      </c>
      <c r="AE8" s="125"/>
      <c r="AF8" s="93"/>
      <c r="AG8" s="93"/>
      <c r="AH8" s="93"/>
      <c r="AI8" s="93"/>
    </row>
    <row r="9" spans="1:35" x14ac:dyDescent="0.25">
      <c r="A9" s="1129"/>
      <c r="B9" s="1130"/>
      <c r="C9" s="1130"/>
      <c r="D9" s="1131"/>
      <c r="E9" s="1135"/>
      <c r="F9" s="1136"/>
      <c r="G9" s="1136"/>
      <c r="H9" s="1137"/>
      <c r="I9" s="1138" t="s">
        <v>6</v>
      </c>
      <c r="J9" s="1138"/>
      <c r="K9" s="1138"/>
      <c r="L9" s="730">
        <f>'BASE GRANTEE INFO &amp; UPDATES'!M8</f>
        <v>0</v>
      </c>
      <c r="AE9" s="125"/>
      <c r="AF9" s="93"/>
      <c r="AG9" s="93"/>
      <c r="AH9" s="93"/>
      <c r="AI9" s="93"/>
    </row>
    <row r="10" spans="1:35" x14ac:dyDescent="0.25">
      <c r="A10" s="1122" t="s">
        <v>7</v>
      </c>
      <c r="B10" s="1123"/>
      <c r="C10" s="1123"/>
      <c r="D10" s="1124"/>
      <c r="E10" s="1125" t="str">
        <f>'BASE GRANTEE INFO &amp; UPDATES'!E9</f>
        <v>September 1 - 30</v>
      </c>
      <c r="F10" s="1125"/>
      <c r="G10" s="1121">
        <f>'BASE GRANTEE INFO &amp; UPDATES'!G9</f>
        <v>2024</v>
      </c>
      <c r="H10" s="1121"/>
      <c r="I10" s="1139" t="s">
        <v>8</v>
      </c>
      <c r="J10" s="1139"/>
      <c r="K10" s="1139"/>
      <c r="L10" s="748">
        <f>'BASE GRANTEE INFO &amp; UPDATES'!M9</f>
        <v>0</v>
      </c>
      <c r="AE10" s="125"/>
      <c r="AF10" s="93"/>
      <c r="AG10" s="93"/>
      <c r="AH10" s="93"/>
      <c r="AI10" s="93"/>
    </row>
    <row r="11" spans="1:35" ht="18.75" x14ac:dyDescent="0.25">
      <c r="A11" s="1111" t="s">
        <v>773</v>
      </c>
      <c r="B11" s="1112"/>
      <c r="C11" s="1112"/>
      <c r="D11" s="1112"/>
      <c r="E11" s="1112"/>
      <c r="F11" s="1112"/>
      <c r="G11" s="1112"/>
      <c r="H11" s="1112"/>
      <c r="I11" s="1112"/>
      <c r="J11" s="1112"/>
      <c r="K11" s="1112"/>
      <c r="L11" s="1112"/>
    </row>
    <row r="12" spans="1:35" ht="65.099999999999994" customHeight="1" x14ac:dyDescent="0.25">
      <c r="A12" s="89" t="s">
        <v>245</v>
      </c>
      <c r="B12" s="741" t="s">
        <v>336</v>
      </c>
      <c r="C12" s="742" t="s">
        <v>337</v>
      </c>
      <c r="D12" s="741" t="s">
        <v>527</v>
      </c>
      <c r="E12" s="742" t="s">
        <v>782</v>
      </c>
      <c r="F12" s="743" t="s">
        <v>301</v>
      </c>
      <c r="G12" s="744" t="s">
        <v>774</v>
      </c>
      <c r="H12" s="745" t="s">
        <v>778</v>
      </c>
      <c r="I12" s="746" t="s">
        <v>529</v>
      </c>
      <c r="J12" s="747" t="s">
        <v>779</v>
      </c>
      <c r="K12" s="1117" t="s">
        <v>783</v>
      </c>
      <c r="L12" s="1118"/>
    </row>
    <row r="13" spans="1:35" ht="50.1" customHeight="1" x14ac:dyDescent="0.25">
      <c r="A13" s="18">
        <f>ROW('4SCREENING -LINKAGE TO TX'!A1)</f>
        <v>1</v>
      </c>
      <c r="B13" s="110">
        <f>'2DEMOGRAPHICS'!B13</f>
        <v>1</v>
      </c>
      <c r="C13" s="111" t="str">
        <f>'2DEMOGRAPHICS'!C13</f>
        <v>aaaaa11111aaaaa</v>
      </c>
      <c r="D13" s="112">
        <f>'2DEMOGRAPHICS'!D13</f>
        <v>44075</v>
      </c>
      <c r="E13" s="113">
        <f>'2DEMOGRAPHICS'!E13</f>
        <v>44077</v>
      </c>
      <c r="F13" s="735" t="s">
        <v>100</v>
      </c>
      <c r="G13" s="16"/>
      <c r="H13" s="87" t="s">
        <v>403</v>
      </c>
      <c r="I13" s="260" t="s">
        <v>22</v>
      </c>
      <c r="J13" s="105" t="s">
        <v>100</v>
      </c>
      <c r="K13" s="1140"/>
      <c r="L13" s="1141"/>
    </row>
    <row r="14" spans="1:35" ht="50.1" customHeight="1" x14ac:dyDescent="0.25">
      <c r="A14" s="18">
        <f t="shared" ref="A14:A62" si="0">ROW(A2)</f>
        <v>2</v>
      </c>
      <c r="B14" s="110">
        <f>'2DEMOGRAPHICS'!B14</f>
        <v>2</v>
      </c>
      <c r="C14" s="111" t="str">
        <f>'2DEMOGRAPHICS'!C14</f>
        <v>aaaaa11111aaaaa</v>
      </c>
      <c r="D14" s="112">
        <f>'2DEMOGRAPHICS'!D14</f>
        <v>44105</v>
      </c>
      <c r="E14" s="113">
        <f>'2DEMOGRAPHICS'!E14</f>
        <v>44107</v>
      </c>
      <c r="F14" s="735" t="s">
        <v>104</v>
      </c>
      <c r="G14" s="16"/>
      <c r="H14" s="87" t="s">
        <v>405</v>
      </c>
      <c r="I14" s="261" t="s">
        <v>22</v>
      </c>
      <c r="J14" s="105" t="s">
        <v>104</v>
      </c>
      <c r="K14" s="1140"/>
      <c r="L14" s="1141"/>
    </row>
    <row r="15" spans="1:35" ht="50.1" customHeight="1" x14ac:dyDescent="0.25">
      <c r="A15" s="18">
        <f t="shared" si="0"/>
        <v>3</v>
      </c>
      <c r="B15" s="110">
        <f>'2DEMOGRAPHICS'!B15</f>
        <v>3</v>
      </c>
      <c r="C15" s="111" t="str">
        <f>'2DEMOGRAPHICS'!C15</f>
        <v>aaaaa11111aaaaa</v>
      </c>
      <c r="D15" s="112">
        <f>'2DEMOGRAPHICS'!D15</f>
        <v>44136</v>
      </c>
      <c r="E15" s="113">
        <f>'2DEMOGRAPHICS'!E15</f>
        <v>44137</v>
      </c>
      <c r="F15" s="735" t="s">
        <v>100</v>
      </c>
      <c r="G15" s="16"/>
      <c r="H15" s="87" t="s">
        <v>407</v>
      </c>
      <c r="I15" s="261" t="s">
        <v>22</v>
      </c>
      <c r="J15" s="105" t="s">
        <v>100</v>
      </c>
      <c r="K15" s="1140"/>
      <c r="L15" s="1141"/>
    </row>
    <row r="16" spans="1:35" ht="50.1" customHeight="1" x14ac:dyDescent="0.25">
      <c r="A16" s="18">
        <f t="shared" si="0"/>
        <v>4</v>
      </c>
      <c r="B16" s="110">
        <f>'2DEMOGRAPHICS'!B16</f>
        <v>4</v>
      </c>
      <c r="C16" s="111" t="str">
        <f>'2DEMOGRAPHICS'!C16</f>
        <v>aaaaa11111aaaaa</v>
      </c>
      <c r="D16" s="112">
        <f>'2DEMOGRAPHICS'!D16</f>
        <v>44166</v>
      </c>
      <c r="E16" s="113">
        <f>'2DEMOGRAPHICS'!E16</f>
        <v>44170</v>
      </c>
      <c r="F16" s="735" t="s">
        <v>104</v>
      </c>
      <c r="G16" s="16"/>
      <c r="H16" s="87" t="s">
        <v>410</v>
      </c>
      <c r="I16" s="261" t="s">
        <v>22</v>
      </c>
      <c r="J16" s="105" t="s">
        <v>104</v>
      </c>
      <c r="K16" s="1140"/>
      <c r="L16" s="1141"/>
    </row>
    <row r="17" spans="1:12" ht="50.1" customHeight="1" x14ac:dyDescent="0.25">
      <c r="A17" s="18">
        <f t="shared" si="0"/>
        <v>5</v>
      </c>
      <c r="B17" s="110">
        <f>'2DEMOGRAPHICS'!B17</f>
        <v>5</v>
      </c>
      <c r="C17" s="111" t="str">
        <f>'2DEMOGRAPHICS'!C17</f>
        <v>aaaaa11111aaaaa</v>
      </c>
      <c r="D17" s="112">
        <f>'2DEMOGRAPHICS'!D17</f>
        <v>44197</v>
      </c>
      <c r="E17" s="113">
        <f>'2DEMOGRAPHICS'!E17</f>
        <v>44201</v>
      </c>
      <c r="F17" s="735" t="s">
        <v>100</v>
      </c>
      <c r="G17" s="16"/>
      <c r="H17" s="87" t="s">
        <v>412</v>
      </c>
      <c r="I17" s="261" t="s">
        <v>22</v>
      </c>
      <c r="J17" s="105" t="s">
        <v>100</v>
      </c>
      <c r="K17" s="1140"/>
      <c r="L17" s="1141"/>
    </row>
    <row r="18" spans="1:12" ht="50.1" customHeight="1" x14ac:dyDescent="0.25">
      <c r="A18" s="18">
        <f t="shared" si="0"/>
        <v>6</v>
      </c>
      <c r="B18" s="110">
        <f>'2DEMOGRAPHICS'!B18</f>
        <v>6</v>
      </c>
      <c r="C18" s="111" t="str">
        <f>'2DEMOGRAPHICS'!C18</f>
        <v>aaaaa11111aaaaa</v>
      </c>
      <c r="D18" s="112">
        <f>'2DEMOGRAPHICS'!D18</f>
        <v>44228</v>
      </c>
      <c r="E18" s="113">
        <f>'2DEMOGRAPHICS'!E18</f>
        <v>44230</v>
      </c>
      <c r="F18" s="735" t="s">
        <v>104</v>
      </c>
      <c r="G18" s="16"/>
      <c r="H18" s="87" t="s">
        <v>414</v>
      </c>
      <c r="I18" s="261" t="s">
        <v>22</v>
      </c>
      <c r="J18" s="105" t="s">
        <v>104</v>
      </c>
      <c r="K18" s="1140"/>
      <c r="L18" s="1141"/>
    </row>
    <row r="19" spans="1:12" ht="50.1" customHeight="1" x14ac:dyDescent="0.25">
      <c r="A19" s="18">
        <f t="shared" si="0"/>
        <v>7</v>
      </c>
      <c r="B19" s="110">
        <f>'2DEMOGRAPHICS'!B19</f>
        <v>7</v>
      </c>
      <c r="C19" s="111" t="str">
        <f>'2DEMOGRAPHICS'!C19</f>
        <v>aaaaa11111aaaaa</v>
      </c>
      <c r="D19" s="112">
        <f>'2DEMOGRAPHICS'!D19</f>
        <v>44256</v>
      </c>
      <c r="E19" s="113">
        <f>'2DEMOGRAPHICS'!E19</f>
        <v>44259</v>
      </c>
      <c r="F19" s="735" t="s">
        <v>100</v>
      </c>
      <c r="G19" s="16"/>
      <c r="H19" s="87" t="s">
        <v>416</v>
      </c>
      <c r="I19" s="261" t="s">
        <v>22</v>
      </c>
      <c r="J19" s="105" t="s">
        <v>100</v>
      </c>
      <c r="K19" s="1140"/>
      <c r="L19" s="1141"/>
    </row>
    <row r="20" spans="1:12" ht="50.1" customHeight="1" x14ac:dyDescent="0.25">
      <c r="A20" s="18">
        <f t="shared" si="0"/>
        <v>8</v>
      </c>
      <c r="B20" s="110">
        <f>'2DEMOGRAPHICS'!B20</f>
        <v>8</v>
      </c>
      <c r="C20" s="111" t="str">
        <f>'2DEMOGRAPHICS'!C20</f>
        <v>aaaaa11111aaaaa</v>
      </c>
      <c r="D20" s="112">
        <f>'2DEMOGRAPHICS'!D20</f>
        <v>44287</v>
      </c>
      <c r="E20" s="113">
        <f>'2DEMOGRAPHICS'!E20</f>
        <v>44291</v>
      </c>
      <c r="F20" s="735" t="s">
        <v>104</v>
      </c>
      <c r="G20" s="16"/>
      <c r="H20" s="87" t="s">
        <v>419</v>
      </c>
      <c r="I20" s="261" t="s">
        <v>22</v>
      </c>
      <c r="J20" s="105" t="s">
        <v>104</v>
      </c>
      <c r="K20" s="1140"/>
      <c r="L20" s="1141"/>
    </row>
    <row r="21" spans="1:12" ht="50.1" customHeight="1" x14ac:dyDescent="0.25">
      <c r="A21" s="18">
        <f t="shared" si="0"/>
        <v>9</v>
      </c>
      <c r="B21" s="110">
        <f>'2DEMOGRAPHICS'!B21</f>
        <v>9</v>
      </c>
      <c r="C21" s="111" t="str">
        <f>'2DEMOGRAPHICS'!C21</f>
        <v>aaaaa11111aaaaa</v>
      </c>
      <c r="D21" s="112">
        <f>'2DEMOGRAPHICS'!D21</f>
        <v>44317</v>
      </c>
      <c r="E21" s="113">
        <f>'2DEMOGRAPHICS'!E21</f>
        <v>44319</v>
      </c>
      <c r="F21" s="735" t="s">
        <v>100</v>
      </c>
      <c r="G21" s="16"/>
      <c r="H21" s="87" t="s">
        <v>209</v>
      </c>
      <c r="I21" s="261" t="s">
        <v>22</v>
      </c>
      <c r="J21" s="105" t="s">
        <v>100</v>
      </c>
      <c r="K21" s="1140"/>
      <c r="L21" s="1141"/>
    </row>
    <row r="22" spans="1:12" ht="50.1" customHeight="1" x14ac:dyDescent="0.25">
      <c r="A22" s="18">
        <f t="shared" si="0"/>
        <v>10</v>
      </c>
      <c r="B22" s="110">
        <f>'2DEMOGRAPHICS'!B22</f>
        <v>10</v>
      </c>
      <c r="C22" s="111" t="str">
        <f>'2DEMOGRAPHICS'!C22</f>
        <v>aaaaa11111aaaaa</v>
      </c>
      <c r="D22" s="112">
        <f>'2DEMOGRAPHICS'!D22</f>
        <v>44348</v>
      </c>
      <c r="E22" s="113">
        <f>'2DEMOGRAPHICS'!E22</f>
        <v>44351</v>
      </c>
      <c r="F22" s="735" t="s">
        <v>104</v>
      </c>
      <c r="G22" s="16"/>
      <c r="H22" s="87" t="s">
        <v>403</v>
      </c>
      <c r="I22" s="261" t="s">
        <v>22</v>
      </c>
      <c r="J22" s="105" t="s">
        <v>104</v>
      </c>
      <c r="K22" s="1140"/>
      <c r="L22" s="1141"/>
    </row>
    <row r="23" spans="1:12" ht="50.1" customHeight="1" x14ac:dyDescent="0.25">
      <c r="A23" s="18">
        <f t="shared" si="0"/>
        <v>11</v>
      </c>
      <c r="B23" s="110">
        <f>'2DEMOGRAPHICS'!B23</f>
        <v>11</v>
      </c>
      <c r="C23" s="111" t="str">
        <f>'2DEMOGRAPHICS'!C23</f>
        <v>aaaaa11111aaaaa</v>
      </c>
      <c r="D23" s="112">
        <f>'2DEMOGRAPHICS'!D23</f>
        <v>44378</v>
      </c>
      <c r="E23" s="113">
        <f>'2DEMOGRAPHICS'!E23</f>
        <v>44379</v>
      </c>
      <c r="F23" s="735" t="s">
        <v>100</v>
      </c>
      <c r="G23" s="16"/>
      <c r="H23" s="87" t="s">
        <v>403</v>
      </c>
      <c r="I23" s="261" t="s">
        <v>22</v>
      </c>
      <c r="J23" s="105" t="s">
        <v>100</v>
      </c>
      <c r="K23" s="1140"/>
      <c r="L23" s="1141"/>
    </row>
    <row r="24" spans="1:12" ht="50.1" customHeight="1" x14ac:dyDescent="0.25">
      <c r="A24" s="18">
        <f t="shared" si="0"/>
        <v>12</v>
      </c>
      <c r="B24" s="110">
        <f>'2DEMOGRAPHICS'!B24</f>
        <v>12</v>
      </c>
      <c r="C24" s="111" t="str">
        <f>'2DEMOGRAPHICS'!C24</f>
        <v>aaaaa11111aaaaa</v>
      </c>
      <c r="D24" s="112">
        <f>'2DEMOGRAPHICS'!D24</f>
        <v>44409</v>
      </c>
      <c r="E24" s="113">
        <f>'2DEMOGRAPHICS'!E24</f>
        <v>44412</v>
      </c>
      <c r="F24" s="735" t="s">
        <v>104</v>
      </c>
      <c r="G24" s="16"/>
      <c r="H24" s="87" t="s">
        <v>405</v>
      </c>
      <c r="I24" s="261" t="s">
        <v>22</v>
      </c>
      <c r="J24" s="105" t="s">
        <v>104</v>
      </c>
      <c r="K24" s="1140"/>
      <c r="L24" s="1141"/>
    </row>
    <row r="25" spans="1:12" ht="50.1" customHeight="1" x14ac:dyDescent="0.25">
      <c r="A25" s="18">
        <f t="shared" si="0"/>
        <v>13</v>
      </c>
      <c r="B25" s="110">
        <f>'2DEMOGRAPHICS'!B25</f>
        <v>13</v>
      </c>
      <c r="C25" s="111" t="str">
        <f>'2DEMOGRAPHICS'!C25</f>
        <v>aaaaa11111aaaaa</v>
      </c>
      <c r="D25" s="112">
        <f>'2DEMOGRAPHICS'!D25</f>
        <v>44075</v>
      </c>
      <c r="E25" s="113">
        <f>'2DEMOGRAPHICS'!E25</f>
        <v>44077</v>
      </c>
      <c r="F25" s="735" t="s">
        <v>100</v>
      </c>
      <c r="G25" s="737"/>
      <c r="H25" s="87" t="s">
        <v>403</v>
      </c>
      <c r="I25" s="599"/>
      <c r="J25" s="105" t="s">
        <v>100</v>
      </c>
      <c r="K25" s="1140"/>
      <c r="L25" s="1141"/>
    </row>
    <row r="26" spans="1:12" ht="50.1" customHeight="1" x14ac:dyDescent="0.25">
      <c r="A26" s="18">
        <f t="shared" si="0"/>
        <v>14</v>
      </c>
      <c r="B26" s="110">
        <f>'2DEMOGRAPHICS'!B26</f>
        <v>14</v>
      </c>
      <c r="C26" s="111" t="str">
        <f>'2DEMOGRAPHICS'!C26</f>
        <v>aaaaa11111aaaaa</v>
      </c>
      <c r="D26" s="112">
        <f>'2DEMOGRAPHICS'!D26</f>
        <v>44105</v>
      </c>
      <c r="E26" s="113">
        <f>'2DEMOGRAPHICS'!E26</f>
        <v>44077</v>
      </c>
      <c r="F26" s="735" t="s">
        <v>104</v>
      </c>
      <c r="G26" s="737"/>
      <c r="H26" s="87" t="s">
        <v>405</v>
      </c>
      <c r="I26" s="599"/>
      <c r="J26" s="105" t="s">
        <v>104</v>
      </c>
      <c r="K26" s="1140"/>
      <c r="L26" s="1141"/>
    </row>
    <row r="27" spans="1:12" ht="50.1" customHeight="1" x14ac:dyDescent="0.25">
      <c r="A27" s="18">
        <f t="shared" si="0"/>
        <v>15</v>
      </c>
      <c r="B27" s="110">
        <f>'2DEMOGRAPHICS'!B27</f>
        <v>15</v>
      </c>
      <c r="C27" s="111" t="str">
        <f>'2DEMOGRAPHICS'!C27</f>
        <v>aaaaa11111aaaaa</v>
      </c>
      <c r="D27" s="112">
        <f>'2DEMOGRAPHICS'!D27</f>
        <v>44136</v>
      </c>
      <c r="E27" s="113">
        <f>'2DEMOGRAPHICS'!E27</f>
        <v>44137</v>
      </c>
      <c r="F27" s="735" t="s">
        <v>100</v>
      </c>
      <c r="G27" s="737"/>
      <c r="H27" s="87" t="s">
        <v>407</v>
      </c>
      <c r="I27" s="599"/>
      <c r="J27" s="105" t="s">
        <v>100</v>
      </c>
      <c r="K27" s="1140"/>
      <c r="L27" s="1141"/>
    </row>
    <row r="28" spans="1:12" ht="50.1" customHeight="1" x14ac:dyDescent="0.25">
      <c r="A28" s="18">
        <f t="shared" si="0"/>
        <v>16</v>
      </c>
      <c r="B28" s="110">
        <f>'2DEMOGRAPHICS'!B28</f>
        <v>16</v>
      </c>
      <c r="C28" s="111" t="str">
        <f>'2DEMOGRAPHICS'!C28</f>
        <v>aaaaa11111aaaaa</v>
      </c>
      <c r="D28" s="112">
        <f>'2DEMOGRAPHICS'!D28</f>
        <v>44166</v>
      </c>
      <c r="E28" s="113">
        <f>'2DEMOGRAPHICS'!E28</f>
        <v>44170</v>
      </c>
      <c r="F28" s="735" t="s">
        <v>104</v>
      </c>
      <c r="G28" s="737"/>
      <c r="H28" s="87" t="s">
        <v>410</v>
      </c>
      <c r="I28" s="599"/>
      <c r="J28" s="105" t="s">
        <v>104</v>
      </c>
      <c r="K28" s="1140"/>
      <c r="L28" s="1141"/>
    </row>
    <row r="29" spans="1:12" ht="50.1" customHeight="1" x14ac:dyDescent="0.25">
      <c r="A29" s="18">
        <f t="shared" si="0"/>
        <v>17</v>
      </c>
      <c r="B29" s="110">
        <f>'2DEMOGRAPHICS'!B29</f>
        <v>17</v>
      </c>
      <c r="C29" s="111" t="str">
        <f>'2DEMOGRAPHICS'!C29</f>
        <v>aaaaa11111aaaaa</v>
      </c>
      <c r="D29" s="112">
        <f>'2DEMOGRAPHICS'!D29</f>
        <v>44197</v>
      </c>
      <c r="E29" s="113">
        <f>'2DEMOGRAPHICS'!E29</f>
        <v>44201</v>
      </c>
      <c r="F29" s="735" t="s">
        <v>100</v>
      </c>
      <c r="G29" s="737"/>
      <c r="H29" s="87" t="s">
        <v>412</v>
      </c>
      <c r="I29" s="599"/>
      <c r="J29" s="105" t="s">
        <v>100</v>
      </c>
      <c r="K29" s="1140"/>
      <c r="L29" s="1141"/>
    </row>
    <row r="30" spans="1:12" ht="50.1" customHeight="1" x14ac:dyDescent="0.25">
      <c r="A30" s="18">
        <f t="shared" si="0"/>
        <v>18</v>
      </c>
      <c r="B30" s="110">
        <f>'2DEMOGRAPHICS'!B30</f>
        <v>18</v>
      </c>
      <c r="C30" s="111" t="str">
        <f>'2DEMOGRAPHICS'!C30</f>
        <v>aaaaa11111aaaaa</v>
      </c>
      <c r="D30" s="112">
        <f>'2DEMOGRAPHICS'!D30</f>
        <v>44228</v>
      </c>
      <c r="E30" s="113">
        <f>'2DEMOGRAPHICS'!E30</f>
        <v>44230</v>
      </c>
      <c r="F30" s="735" t="s">
        <v>104</v>
      </c>
      <c r="G30" s="737"/>
      <c r="H30" s="87" t="s">
        <v>414</v>
      </c>
      <c r="I30" s="599"/>
      <c r="J30" s="105" t="s">
        <v>104</v>
      </c>
      <c r="K30" s="1140"/>
      <c r="L30" s="1141"/>
    </row>
    <row r="31" spans="1:12" ht="50.1" customHeight="1" x14ac:dyDescent="0.25">
      <c r="A31" s="18">
        <f t="shared" si="0"/>
        <v>19</v>
      </c>
      <c r="B31" s="110">
        <f>'2DEMOGRAPHICS'!B31</f>
        <v>19</v>
      </c>
      <c r="C31" s="111" t="str">
        <f>'2DEMOGRAPHICS'!C31</f>
        <v>aaaaa11111aaaaa</v>
      </c>
      <c r="D31" s="112">
        <f>'2DEMOGRAPHICS'!D31</f>
        <v>44256</v>
      </c>
      <c r="E31" s="113">
        <f>'2DEMOGRAPHICS'!E31</f>
        <v>44259</v>
      </c>
      <c r="F31" s="735" t="s">
        <v>100</v>
      </c>
      <c r="G31" s="737"/>
      <c r="H31" s="87" t="s">
        <v>416</v>
      </c>
      <c r="I31" s="599"/>
      <c r="J31" s="105" t="s">
        <v>100</v>
      </c>
      <c r="K31" s="1140"/>
      <c r="L31" s="1141"/>
    </row>
    <row r="32" spans="1:12" ht="50.1" customHeight="1" x14ac:dyDescent="0.25">
      <c r="A32" s="18">
        <f t="shared" si="0"/>
        <v>20</v>
      </c>
      <c r="B32" s="110">
        <f>'2DEMOGRAPHICS'!B32</f>
        <v>20</v>
      </c>
      <c r="C32" s="111" t="str">
        <f>'2DEMOGRAPHICS'!C32</f>
        <v>aaaaa11111aaaaa</v>
      </c>
      <c r="D32" s="112">
        <f>'2DEMOGRAPHICS'!D32</f>
        <v>44287</v>
      </c>
      <c r="E32" s="113">
        <f>'2DEMOGRAPHICS'!E32</f>
        <v>44291</v>
      </c>
      <c r="F32" s="735" t="s">
        <v>104</v>
      </c>
      <c r="G32" s="738"/>
      <c r="H32" s="87" t="s">
        <v>419</v>
      </c>
      <c r="I32" s="599"/>
      <c r="J32" s="105" t="s">
        <v>104</v>
      </c>
      <c r="K32" s="1140"/>
      <c r="L32" s="1141"/>
    </row>
    <row r="33" spans="1:12" ht="50.1" customHeight="1" x14ac:dyDescent="0.25">
      <c r="A33" s="18">
        <f t="shared" si="0"/>
        <v>21</v>
      </c>
      <c r="B33" s="110">
        <f>'2DEMOGRAPHICS'!B33</f>
        <v>21</v>
      </c>
      <c r="C33" s="111" t="str">
        <f>'2DEMOGRAPHICS'!C33</f>
        <v>aaaaa11111aaaaa</v>
      </c>
      <c r="D33" s="112">
        <f>'2DEMOGRAPHICS'!D33</f>
        <v>44317</v>
      </c>
      <c r="E33" s="113">
        <f>'2DEMOGRAPHICS'!E33</f>
        <v>44319</v>
      </c>
      <c r="F33" s="735" t="s">
        <v>100</v>
      </c>
      <c r="G33" s="737"/>
      <c r="H33" s="87" t="s">
        <v>209</v>
      </c>
      <c r="I33" s="599"/>
      <c r="J33" s="105" t="s">
        <v>100</v>
      </c>
      <c r="K33" s="1140"/>
      <c r="L33" s="1141"/>
    </row>
    <row r="34" spans="1:12" ht="50.1" customHeight="1" x14ac:dyDescent="0.25">
      <c r="A34" s="18">
        <f t="shared" si="0"/>
        <v>22</v>
      </c>
      <c r="B34" s="110">
        <f>'2DEMOGRAPHICS'!B34</f>
        <v>22</v>
      </c>
      <c r="C34" s="111" t="str">
        <f>'2DEMOGRAPHICS'!C34</f>
        <v>aaaaa11111aaaaa</v>
      </c>
      <c r="D34" s="112">
        <f>'2DEMOGRAPHICS'!D34</f>
        <v>44348</v>
      </c>
      <c r="E34" s="113">
        <f>'2DEMOGRAPHICS'!E34</f>
        <v>44351</v>
      </c>
      <c r="F34" s="735" t="s">
        <v>104</v>
      </c>
      <c r="G34" s="737"/>
      <c r="H34" s="87" t="s">
        <v>403</v>
      </c>
      <c r="I34" s="599"/>
      <c r="J34" s="105" t="s">
        <v>104</v>
      </c>
      <c r="K34" s="1140"/>
      <c r="L34" s="1141"/>
    </row>
    <row r="35" spans="1:12" ht="50.1" customHeight="1" x14ac:dyDescent="0.25">
      <c r="A35" s="18">
        <f t="shared" si="0"/>
        <v>23</v>
      </c>
      <c r="B35" s="110">
        <f>'2DEMOGRAPHICS'!B35</f>
        <v>23</v>
      </c>
      <c r="C35" s="111" t="str">
        <f>'2DEMOGRAPHICS'!C35</f>
        <v>aaaaa11111aaaaa</v>
      </c>
      <c r="D35" s="112">
        <f>'2DEMOGRAPHICS'!D35</f>
        <v>44378</v>
      </c>
      <c r="E35" s="113">
        <f>'2DEMOGRAPHICS'!E35</f>
        <v>44379</v>
      </c>
      <c r="F35" s="735" t="s">
        <v>100</v>
      </c>
      <c r="G35" s="737"/>
      <c r="H35" s="87" t="s">
        <v>403</v>
      </c>
      <c r="I35" s="599"/>
      <c r="J35" s="105" t="s">
        <v>100</v>
      </c>
      <c r="K35" s="1140"/>
      <c r="L35" s="1141"/>
    </row>
    <row r="36" spans="1:12" ht="50.1" customHeight="1" x14ac:dyDescent="0.25">
      <c r="A36" s="18">
        <f t="shared" si="0"/>
        <v>24</v>
      </c>
      <c r="B36" s="110">
        <f>'2DEMOGRAPHICS'!B36</f>
        <v>24</v>
      </c>
      <c r="C36" s="111" t="str">
        <f>'2DEMOGRAPHICS'!C36</f>
        <v>aaaaa11111aaaaa</v>
      </c>
      <c r="D36" s="112">
        <f>'2DEMOGRAPHICS'!D36</f>
        <v>44409</v>
      </c>
      <c r="E36" s="113">
        <f>'2DEMOGRAPHICS'!E36</f>
        <v>44412</v>
      </c>
      <c r="F36" s="735" t="s">
        <v>104</v>
      </c>
      <c r="G36" s="737"/>
      <c r="H36" s="87" t="s">
        <v>405</v>
      </c>
      <c r="I36" s="599"/>
      <c r="J36" s="105" t="s">
        <v>104</v>
      </c>
      <c r="K36" s="1140"/>
      <c r="L36" s="1141"/>
    </row>
    <row r="37" spans="1:12" ht="50.1" customHeight="1" x14ac:dyDescent="0.25">
      <c r="A37" s="18">
        <f t="shared" si="0"/>
        <v>25</v>
      </c>
      <c r="B37" s="110">
        <f>'2DEMOGRAPHICS'!B37</f>
        <v>25</v>
      </c>
      <c r="C37" s="111" t="str">
        <f>'2DEMOGRAPHICS'!C37</f>
        <v>aaaaa11111aaaaa</v>
      </c>
      <c r="D37" s="112">
        <f>'2DEMOGRAPHICS'!D37</f>
        <v>44075</v>
      </c>
      <c r="E37" s="113">
        <f>'2DEMOGRAPHICS'!E37</f>
        <v>44077</v>
      </c>
      <c r="F37" s="735" t="s">
        <v>100</v>
      </c>
      <c r="G37" s="737"/>
      <c r="H37" s="87" t="s">
        <v>403</v>
      </c>
      <c r="I37" s="599"/>
      <c r="J37" s="105" t="s">
        <v>100</v>
      </c>
      <c r="K37" s="1140"/>
      <c r="L37" s="1141"/>
    </row>
    <row r="38" spans="1:12" ht="50.1" customHeight="1" x14ac:dyDescent="0.25">
      <c r="A38" s="18">
        <f t="shared" si="0"/>
        <v>26</v>
      </c>
      <c r="B38" s="110">
        <f>'2DEMOGRAPHICS'!B38</f>
        <v>26</v>
      </c>
      <c r="C38" s="111" t="str">
        <f>'2DEMOGRAPHICS'!C38</f>
        <v>aaaaa11111aaaaa</v>
      </c>
      <c r="D38" s="112">
        <f>'2DEMOGRAPHICS'!D38</f>
        <v>44105</v>
      </c>
      <c r="E38" s="113">
        <f>'2DEMOGRAPHICS'!E38</f>
        <v>44077</v>
      </c>
      <c r="F38" s="735" t="s">
        <v>104</v>
      </c>
      <c r="G38" s="737"/>
      <c r="H38" s="87" t="s">
        <v>405</v>
      </c>
      <c r="I38" s="599"/>
      <c r="J38" s="105" t="s">
        <v>104</v>
      </c>
      <c r="K38" s="1140"/>
      <c r="L38" s="1141"/>
    </row>
    <row r="39" spans="1:12" ht="50.1" customHeight="1" x14ac:dyDescent="0.25">
      <c r="A39" s="18">
        <f t="shared" si="0"/>
        <v>27</v>
      </c>
      <c r="B39" s="110">
        <f>'2DEMOGRAPHICS'!B39</f>
        <v>27</v>
      </c>
      <c r="C39" s="111" t="str">
        <f>'2DEMOGRAPHICS'!C39</f>
        <v>aaaaa11111aaaaa</v>
      </c>
      <c r="D39" s="112">
        <f>'2DEMOGRAPHICS'!D39</f>
        <v>44136</v>
      </c>
      <c r="E39" s="113">
        <f>'2DEMOGRAPHICS'!E39</f>
        <v>44137</v>
      </c>
      <c r="F39" s="735" t="s">
        <v>100</v>
      </c>
      <c r="G39" s="737"/>
      <c r="H39" s="87" t="s">
        <v>407</v>
      </c>
      <c r="I39" s="599"/>
      <c r="J39" s="105" t="s">
        <v>100</v>
      </c>
      <c r="K39" s="1140"/>
      <c r="L39" s="1141"/>
    </row>
    <row r="40" spans="1:12" ht="50.1" customHeight="1" x14ac:dyDescent="0.25">
      <c r="A40" s="18">
        <f t="shared" si="0"/>
        <v>28</v>
      </c>
      <c r="B40" s="110">
        <f>'2DEMOGRAPHICS'!B40</f>
        <v>28</v>
      </c>
      <c r="C40" s="111" t="str">
        <f>'2DEMOGRAPHICS'!C40</f>
        <v>aaaaa11111aaaaa</v>
      </c>
      <c r="D40" s="112">
        <f>'2DEMOGRAPHICS'!D40</f>
        <v>44166</v>
      </c>
      <c r="E40" s="113">
        <f>'2DEMOGRAPHICS'!E40</f>
        <v>44170</v>
      </c>
      <c r="F40" s="735" t="s">
        <v>104</v>
      </c>
      <c r="G40" s="737"/>
      <c r="H40" s="87" t="s">
        <v>410</v>
      </c>
      <c r="I40" s="599"/>
      <c r="J40" s="105" t="s">
        <v>104</v>
      </c>
      <c r="K40" s="1140"/>
      <c r="L40" s="1141"/>
    </row>
    <row r="41" spans="1:12" ht="50.1" customHeight="1" x14ac:dyDescent="0.25">
      <c r="A41" s="18">
        <f t="shared" si="0"/>
        <v>29</v>
      </c>
      <c r="B41" s="110">
        <f>'2DEMOGRAPHICS'!B41</f>
        <v>29</v>
      </c>
      <c r="C41" s="111" t="str">
        <f>'2DEMOGRAPHICS'!C41</f>
        <v>aaaaa11111aaaaa</v>
      </c>
      <c r="D41" s="112">
        <f>'2DEMOGRAPHICS'!D41</f>
        <v>44197</v>
      </c>
      <c r="E41" s="113">
        <f>'2DEMOGRAPHICS'!E41</f>
        <v>44201</v>
      </c>
      <c r="F41" s="735" t="s">
        <v>100</v>
      </c>
      <c r="G41" s="737"/>
      <c r="H41" s="87" t="s">
        <v>412</v>
      </c>
      <c r="I41" s="599"/>
      <c r="J41" s="105" t="s">
        <v>100</v>
      </c>
      <c r="K41" s="1140"/>
      <c r="L41" s="1141"/>
    </row>
    <row r="42" spans="1:12" ht="50.1" customHeight="1" x14ac:dyDescent="0.25">
      <c r="A42" s="18">
        <f t="shared" si="0"/>
        <v>30</v>
      </c>
      <c r="B42" s="110">
        <f>'2DEMOGRAPHICS'!B42</f>
        <v>30</v>
      </c>
      <c r="C42" s="111" t="str">
        <f>'2DEMOGRAPHICS'!C42</f>
        <v>aaaaa11111aaaaa</v>
      </c>
      <c r="D42" s="112">
        <f>'2DEMOGRAPHICS'!D42</f>
        <v>44228</v>
      </c>
      <c r="E42" s="113">
        <f>'2DEMOGRAPHICS'!E42</f>
        <v>44230</v>
      </c>
      <c r="F42" s="735" t="s">
        <v>104</v>
      </c>
      <c r="G42" s="738"/>
      <c r="H42" s="87" t="s">
        <v>414</v>
      </c>
      <c r="I42" s="599"/>
      <c r="J42" s="105" t="s">
        <v>104</v>
      </c>
      <c r="K42" s="1140"/>
      <c r="L42" s="1141"/>
    </row>
    <row r="43" spans="1:12" ht="50.1" customHeight="1" x14ac:dyDescent="0.25">
      <c r="A43" s="18">
        <f t="shared" si="0"/>
        <v>31</v>
      </c>
      <c r="B43" s="110">
        <f>'2DEMOGRAPHICS'!B43</f>
        <v>31</v>
      </c>
      <c r="C43" s="111" t="str">
        <f>'2DEMOGRAPHICS'!C43</f>
        <v>aaaaa11111aaaaa</v>
      </c>
      <c r="D43" s="112">
        <f>'2DEMOGRAPHICS'!D43</f>
        <v>44256</v>
      </c>
      <c r="E43" s="113">
        <f>'2DEMOGRAPHICS'!E43</f>
        <v>44259</v>
      </c>
      <c r="F43" s="735" t="s">
        <v>100</v>
      </c>
      <c r="G43" s="738"/>
      <c r="H43" s="87" t="s">
        <v>416</v>
      </c>
      <c r="I43" s="599"/>
      <c r="J43" s="105" t="s">
        <v>100</v>
      </c>
      <c r="K43" s="1140"/>
      <c r="L43" s="1141"/>
    </row>
    <row r="44" spans="1:12" ht="50.1" customHeight="1" x14ac:dyDescent="0.25">
      <c r="A44" s="18">
        <f t="shared" si="0"/>
        <v>32</v>
      </c>
      <c r="B44" s="110">
        <f>'2DEMOGRAPHICS'!B44</f>
        <v>32</v>
      </c>
      <c r="C44" s="111" t="str">
        <f>'2DEMOGRAPHICS'!C44</f>
        <v>aaaaa11111aaaaa</v>
      </c>
      <c r="D44" s="112">
        <f>'2DEMOGRAPHICS'!D44</f>
        <v>44287</v>
      </c>
      <c r="E44" s="113">
        <f>'2DEMOGRAPHICS'!E44</f>
        <v>44291</v>
      </c>
      <c r="F44" s="735" t="s">
        <v>104</v>
      </c>
      <c r="G44" s="737"/>
      <c r="H44" s="87" t="s">
        <v>419</v>
      </c>
      <c r="I44" s="599"/>
      <c r="J44" s="105" t="s">
        <v>104</v>
      </c>
      <c r="K44" s="1140"/>
      <c r="L44" s="1141"/>
    </row>
    <row r="45" spans="1:12" ht="50.1" customHeight="1" x14ac:dyDescent="0.25">
      <c r="A45" s="18">
        <f t="shared" si="0"/>
        <v>33</v>
      </c>
      <c r="B45" s="110">
        <f>'2DEMOGRAPHICS'!B45</f>
        <v>33</v>
      </c>
      <c r="C45" s="111" t="str">
        <f>'2DEMOGRAPHICS'!C45</f>
        <v>aaaaa11111aaaaa</v>
      </c>
      <c r="D45" s="112">
        <f>'2DEMOGRAPHICS'!D45</f>
        <v>44317</v>
      </c>
      <c r="E45" s="113">
        <f>'2DEMOGRAPHICS'!E45</f>
        <v>44319</v>
      </c>
      <c r="F45" s="735" t="s">
        <v>100</v>
      </c>
      <c r="G45" s="737"/>
      <c r="H45" s="87" t="s">
        <v>209</v>
      </c>
      <c r="I45" s="599"/>
      <c r="J45" s="105" t="s">
        <v>100</v>
      </c>
      <c r="K45" s="1140"/>
      <c r="L45" s="1141"/>
    </row>
    <row r="46" spans="1:12" ht="50.1" customHeight="1" x14ac:dyDescent="0.25">
      <c r="A46" s="18">
        <f t="shared" si="0"/>
        <v>34</v>
      </c>
      <c r="B46" s="110">
        <f>'2DEMOGRAPHICS'!B46</f>
        <v>34</v>
      </c>
      <c r="C46" s="111" t="str">
        <f>'2DEMOGRAPHICS'!C46</f>
        <v>aaaaa11111aaaaa</v>
      </c>
      <c r="D46" s="112">
        <f>'2DEMOGRAPHICS'!D46</f>
        <v>44348</v>
      </c>
      <c r="E46" s="113">
        <f>'2DEMOGRAPHICS'!E46</f>
        <v>44351</v>
      </c>
      <c r="F46" s="735" t="s">
        <v>104</v>
      </c>
      <c r="G46" s="737"/>
      <c r="H46" s="87" t="s">
        <v>403</v>
      </c>
      <c r="I46" s="599"/>
      <c r="J46" s="105" t="s">
        <v>104</v>
      </c>
      <c r="K46" s="1140"/>
      <c r="L46" s="1141"/>
    </row>
    <row r="47" spans="1:12" ht="50.1" customHeight="1" x14ac:dyDescent="0.25">
      <c r="A47" s="18">
        <f t="shared" si="0"/>
        <v>35</v>
      </c>
      <c r="B47" s="110">
        <f>'2DEMOGRAPHICS'!B47</f>
        <v>35</v>
      </c>
      <c r="C47" s="111" t="str">
        <f>'2DEMOGRAPHICS'!C47</f>
        <v>aaaaa11111aaaaa</v>
      </c>
      <c r="D47" s="112">
        <f>'2DEMOGRAPHICS'!D47</f>
        <v>44378</v>
      </c>
      <c r="E47" s="113">
        <f>'2DEMOGRAPHICS'!E47</f>
        <v>44379</v>
      </c>
      <c r="F47" s="735" t="s">
        <v>100</v>
      </c>
      <c r="G47" s="737"/>
      <c r="H47" s="87" t="s">
        <v>403</v>
      </c>
      <c r="I47" s="599"/>
      <c r="J47" s="105" t="s">
        <v>100</v>
      </c>
      <c r="K47" s="1140"/>
      <c r="L47" s="1141"/>
    </row>
    <row r="48" spans="1:12" ht="50.1" customHeight="1" x14ac:dyDescent="0.25">
      <c r="A48" s="18">
        <f t="shared" si="0"/>
        <v>36</v>
      </c>
      <c r="B48" s="110">
        <f>'2DEMOGRAPHICS'!B48</f>
        <v>36</v>
      </c>
      <c r="C48" s="111" t="str">
        <f>'2DEMOGRAPHICS'!C48</f>
        <v>aaaaa11111aaaaa</v>
      </c>
      <c r="D48" s="112">
        <f>'2DEMOGRAPHICS'!D48</f>
        <v>44409</v>
      </c>
      <c r="E48" s="113">
        <f>'2DEMOGRAPHICS'!E48</f>
        <v>44412</v>
      </c>
      <c r="F48" s="735" t="s">
        <v>104</v>
      </c>
      <c r="G48" s="737"/>
      <c r="H48" s="87" t="s">
        <v>405</v>
      </c>
      <c r="I48" s="599"/>
      <c r="J48" s="105" t="s">
        <v>104</v>
      </c>
      <c r="K48" s="1140"/>
      <c r="L48" s="1141"/>
    </row>
    <row r="49" spans="1:12" ht="50.1" customHeight="1" x14ac:dyDescent="0.25">
      <c r="A49" s="18">
        <f t="shared" si="0"/>
        <v>37</v>
      </c>
      <c r="B49" s="110">
        <f>'2DEMOGRAPHICS'!B49</f>
        <v>37</v>
      </c>
      <c r="C49" s="111" t="str">
        <f>'2DEMOGRAPHICS'!C49</f>
        <v>aaaaa11111aaaaa</v>
      </c>
      <c r="D49" s="112">
        <f>'2DEMOGRAPHICS'!D49</f>
        <v>44075</v>
      </c>
      <c r="E49" s="113">
        <f>'2DEMOGRAPHICS'!E49</f>
        <v>44077</v>
      </c>
      <c r="F49" s="735" t="s">
        <v>100</v>
      </c>
      <c r="G49" s="737"/>
      <c r="H49" s="87" t="s">
        <v>403</v>
      </c>
      <c r="I49" s="599"/>
      <c r="J49" s="105" t="s">
        <v>100</v>
      </c>
      <c r="K49" s="1140"/>
      <c r="L49" s="1141"/>
    </row>
    <row r="50" spans="1:12" ht="50.1" customHeight="1" x14ac:dyDescent="0.25">
      <c r="A50" s="18">
        <f t="shared" si="0"/>
        <v>38</v>
      </c>
      <c r="B50" s="110">
        <f>'2DEMOGRAPHICS'!B50</f>
        <v>38</v>
      </c>
      <c r="C50" s="111" t="str">
        <f>'2DEMOGRAPHICS'!C50</f>
        <v>aaaaa11111aaaaa</v>
      </c>
      <c r="D50" s="112">
        <f>'2DEMOGRAPHICS'!D50</f>
        <v>44105</v>
      </c>
      <c r="E50" s="113">
        <f>'2DEMOGRAPHICS'!E50</f>
        <v>44077</v>
      </c>
      <c r="F50" s="735" t="s">
        <v>104</v>
      </c>
      <c r="G50" s="737"/>
      <c r="H50" s="87" t="s">
        <v>405</v>
      </c>
      <c r="I50" s="599"/>
      <c r="J50" s="105" t="s">
        <v>104</v>
      </c>
      <c r="K50" s="1140"/>
      <c r="L50" s="1141"/>
    </row>
    <row r="51" spans="1:12" ht="50.1" customHeight="1" x14ac:dyDescent="0.25">
      <c r="A51" s="18">
        <f t="shared" si="0"/>
        <v>39</v>
      </c>
      <c r="B51" s="110">
        <f>'2DEMOGRAPHICS'!B51</f>
        <v>39</v>
      </c>
      <c r="C51" s="111" t="str">
        <f>'2DEMOGRAPHICS'!C51</f>
        <v>aaaaa11111aaaaa</v>
      </c>
      <c r="D51" s="112">
        <f>'2DEMOGRAPHICS'!D51</f>
        <v>44136</v>
      </c>
      <c r="E51" s="113">
        <f>'2DEMOGRAPHICS'!E51</f>
        <v>44137</v>
      </c>
      <c r="F51" s="735" t="s">
        <v>100</v>
      </c>
      <c r="G51" s="737"/>
      <c r="H51" s="87" t="s">
        <v>407</v>
      </c>
      <c r="I51" s="599"/>
      <c r="J51" s="105" t="s">
        <v>100</v>
      </c>
      <c r="K51" s="1140"/>
      <c r="L51" s="1141"/>
    </row>
    <row r="52" spans="1:12" ht="50.1" customHeight="1" x14ac:dyDescent="0.25">
      <c r="A52" s="18">
        <f t="shared" si="0"/>
        <v>40</v>
      </c>
      <c r="B52" s="110">
        <f>'2DEMOGRAPHICS'!B52</f>
        <v>40</v>
      </c>
      <c r="C52" s="111" t="str">
        <f>'2DEMOGRAPHICS'!C52</f>
        <v>aaaaa11111aaaaa</v>
      </c>
      <c r="D52" s="112">
        <f>'2DEMOGRAPHICS'!D52</f>
        <v>44166</v>
      </c>
      <c r="E52" s="113">
        <f>'2DEMOGRAPHICS'!E52</f>
        <v>44170</v>
      </c>
      <c r="F52" s="735" t="s">
        <v>104</v>
      </c>
      <c r="G52" s="737"/>
      <c r="H52" s="87" t="s">
        <v>410</v>
      </c>
      <c r="I52" s="599"/>
      <c r="J52" s="105" t="s">
        <v>104</v>
      </c>
      <c r="K52" s="1140"/>
      <c r="L52" s="1141"/>
    </row>
    <row r="53" spans="1:12" ht="50.1" customHeight="1" x14ac:dyDescent="0.25">
      <c r="A53" s="18">
        <f t="shared" si="0"/>
        <v>41</v>
      </c>
      <c r="B53" s="110">
        <f>'2DEMOGRAPHICS'!B53</f>
        <v>41</v>
      </c>
      <c r="C53" s="111" t="str">
        <f>'2DEMOGRAPHICS'!C53</f>
        <v>aaaaa11111aaaaa</v>
      </c>
      <c r="D53" s="112">
        <f>'2DEMOGRAPHICS'!D53</f>
        <v>44197</v>
      </c>
      <c r="E53" s="113">
        <f>'2DEMOGRAPHICS'!E53</f>
        <v>44201</v>
      </c>
      <c r="F53" s="735" t="s">
        <v>100</v>
      </c>
      <c r="G53" s="738"/>
      <c r="H53" s="87" t="s">
        <v>412</v>
      </c>
      <c r="I53" s="599"/>
      <c r="J53" s="105" t="s">
        <v>100</v>
      </c>
      <c r="K53" s="1140"/>
      <c r="L53" s="1141"/>
    </row>
    <row r="54" spans="1:12" ht="50.1" customHeight="1" x14ac:dyDescent="0.25">
      <c r="A54" s="18">
        <f t="shared" si="0"/>
        <v>42</v>
      </c>
      <c r="B54" s="110">
        <f>'2DEMOGRAPHICS'!B54</f>
        <v>42</v>
      </c>
      <c r="C54" s="111" t="str">
        <f>'2DEMOGRAPHICS'!C54</f>
        <v>aaaaa11111aaaaa</v>
      </c>
      <c r="D54" s="112">
        <f>'2DEMOGRAPHICS'!D54</f>
        <v>44228</v>
      </c>
      <c r="E54" s="113">
        <f>'2DEMOGRAPHICS'!E54</f>
        <v>44230</v>
      </c>
      <c r="F54" s="735" t="s">
        <v>104</v>
      </c>
      <c r="G54" s="737"/>
      <c r="H54" s="87" t="s">
        <v>414</v>
      </c>
      <c r="I54" s="599"/>
      <c r="J54" s="105" t="s">
        <v>104</v>
      </c>
      <c r="K54" s="1140"/>
      <c r="L54" s="1141"/>
    </row>
    <row r="55" spans="1:12" ht="50.1" customHeight="1" x14ac:dyDescent="0.25">
      <c r="A55" s="18">
        <f t="shared" si="0"/>
        <v>43</v>
      </c>
      <c r="B55" s="110">
        <f>'2DEMOGRAPHICS'!B55</f>
        <v>43</v>
      </c>
      <c r="C55" s="111" t="str">
        <f>'2DEMOGRAPHICS'!C55</f>
        <v>aaaaa11111aaaaa</v>
      </c>
      <c r="D55" s="112">
        <f>'2DEMOGRAPHICS'!D55</f>
        <v>44256</v>
      </c>
      <c r="E55" s="113">
        <f>'2DEMOGRAPHICS'!E55</f>
        <v>44259</v>
      </c>
      <c r="F55" s="735" t="s">
        <v>100</v>
      </c>
      <c r="G55" s="737"/>
      <c r="H55" s="87" t="s">
        <v>416</v>
      </c>
      <c r="I55" s="599"/>
      <c r="J55" s="105" t="s">
        <v>100</v>
      </c>
      <c r="K55" s="1140"/>
      <c r="L55" s="1141"/>
    </row>
    <row r="56" spans="1:12" ht="50.1" customHeight="1" x14ac:dyDescent="0.25">
      <c r="A56" s="18">
        <f t="shared" si="0"/>
        <v>44</v>
      </c>
      <c r="B56" s="110">
        <f>'2DEMOGRAPHICS'!B56</f>
        <v>44</v>
      </c>
      <c r="C56" s="111" t="str">
        <f>'2DEMOGRAPHICS'!C56</f>
        <v>aaaaa11111aaaaa</v>
      </c>
      <c r="D56" s="112">
        <f>'2DEMOGRAPHICS'!D56</f>
        <v>44287</v>
      </c>
      <c r="E56" s="113">
        <f>'2DEMOGRAPHICS'!E56</f>
        <v>44291</v>
      </c>
      <c r="F56" s="735" t="s">
        <v>104</v>
      </c>
      <c r="G56" s="737"/>
      <c r="H56" s="87" t="s">
        <v>419</v>
      </c>
      <c r="I56" s="599"/>
      <c r="J56" s="105" t="s">
        <v>104</v>
      </c>
      <c r="K56" s="1140"/>
      <c r="L56" s="1141"/>
    </row>
    <row r="57" spans="1:12" ht="50.1" customHeight="1" x14ac:dyDescent="0.25">
      <c r="A57" s="18">
        <f t="shared" si="0"/>
        <v>45</v>
      </c>
      <c r="B57" s="110">
        <f>'2DEMOGRAPHICS'!B57</f>
        <v>45</v>
      </c>
      <c r="C57" s="111" t="str">
        <f>'2DEMOGRAPHICS'!C57</f>
        <v>aaaaa11111aaaaa</v>
      </c>
      <c r="D57" s="112">
        <f>'2DEMOGRAPHICS'!D57</f>
        <v>44317</v>
      </c>
      <c r="E57" s="113">
        <f>'2DEMOGRAPHICS'!E57</f>
        <v>44319</v>
      </c>
      <c r="F57" s="735" t="s">
        <v>100</v>
      </c>
      <c r="G57" s="737"/>
      <c r="H57" s="87" t="s">
        <v>209</v>
      </c>
      <c r="I57" s="599"/>
      <c r="J57" s="105" t="s">
        <v>100</v>
      </c>
      <c r="K57" s="1140"/>
      <c r="L57" s="1141"/>
    </row>
    <row r="58" spans="1:12" ht="50.1" customHeight="1" x14ac:dyDescent="0.25">
      <c r="A58" s="18">
        <f t="shared" si="0"/>
        <v>46</v>
      </c>
      <c r="B58" s="110">
        <f>'2DEMOGRAPHICS'!B58</f>
        <v>46</v>
      </c>
      <c r="C58" s="111" t="str">
        <f>'2DEMOGRAPHICS'!C58</f>
        <v>aaaaa11111aaaaa</v>
      </c>
      <c r="D58" s="112">
        <f>'2DEMOGRAPHICS'!D58</f>
        <v>44348</v>
      </c>
      <c r="E58" s="113">
        <f>'2DEMOGRAPHICS'!E58</f>
        <v>44351</v>
      </c>
      <c r="F58" s="735" t="s">
        <v>104</v>
      </c>
      <c r="G58" s="737"/>
      <c r="H58" s="87" t="s">
        <v>403</v>
      </c>
      <c r="I58" s="599"/>
      <c r="J58" s="105" t="s">
        <v>104</v>
      </c>
      <c r="K58" s="1140"/>
      <c r="L58" s="1141"/>
    </row>
    <row r="59" spans="1:12" ht="50.1" customHeight="1" x14ac:dyDescent="0.25">
      <c r="A59" s="18">
        <f t="shared" si="0"/>
        <v>47</v>
      </c>
      <c r="B59" s="110">
        <f>'2DEMOGRAPHICS'!B59</f>
        <v>47</v>
      </c>
      <c r="C59" s="111" t="str">
        <f>'2DEMOGRAPHICS'!C59</f>
        <v>aaaaa11111aaaaa</v>
      </c>
      <c r="D59" s="112">
        <f>'2DEMOGRAPHICS'!D59</f>
        <v>44378</v>
      </c>
      <c r="E59" s="113">
        <f>'2DEMOGRAPHICS'!E59</f>
        <v>44379</v>
      </c>
      <c r="F59" s="735" t="s">
        <v>100</v>
      </c>
      <c r="G59" s="737"/>
      <c r="H59" s="87" t="s">
        <v>403</v>
      </c>
      <c r="I59" s="599"/>
      <c r="J59" s="105" t="s">
        <v>100</v>
      </c>
      <c r="K59" s="1140"/>
      <c r="L59" s="1141"/>
    </row>
    <row r="60" spans="1:12" ht="50.1" customHeight="1" x14ac:dyDescent="0.25">
      <c r="A60" s="18">
        <f t="shared" si="0"/>
        <v>48</v>
      </c>
      <c r="B60" s="110">
        <f>'2DEMOGRAPHICS'!B60</f>
        <v>48</v>
      </c>
      <c r="C60" s="111" t="str">
        <f>'2DEMOGRAPHICS'!C60</f>
        <v>aaaaa11111aaaaa</v>
      </c>
      <c r="D60" s="112">
        <f>'2DEMOGRAPHICS'!D60</f>
        <v>44409</v>
      </c>
      <c r="E60" s="113">
        <f>'2DEMOGRAPHICS'!E60</f>
        <v>44412</v>
      </c>
      <c r="F60" s="735" t="s">
        <v>104</v>
      </c>
      <c r="G60" s="737"/>
      <c r="H60" s="87" t="s">
        <v>405</v>
      </c>
      <c r="I60" s="599"/>
      <c r="J60" s="105" t="s">
        <v>104</v>
      </c>
      <c r="K60" s="1140"/>
      <c r="L60" s="1141"/>
    </row>
    <row r="61" spans="1:12" ht="50.1" customHeight="1" x14ac:dyDescent="0.25">
      <c r="A61" s="18">
        <f t="shared" si="0"/>
        <v>49</v>
      </c>
      <c r="B61" s="110">
        <f>'2DEMOGRAPHICS'!B61</f>
        <v>49</v>
      </c>
      <c r="C61" s="111" t="str">
        <f>'2DEMOGRAPHICS'!C61</f>
        <v>aaaaa11111aaaaa</v>
      </c>
      <c r="D61" s="112">
        <f>'2DEMOGRAPHICS'!D61</f>
        <v>44075</v>
      </c>
      <c r="E61" s="113">
        <f>'2DEMOGRAPHICS'!E61</f>
        <v>44076</v>
      </c>
      <c r="F61" s="735" t="s">
        <v>100</v>
      </c>
      <c r="G61" s="737"/>
      <c r="H61" s="87" t="s">
        <v>403</v>
      </c>
      <c r="I61" s="599"/>
      <c r="J61" s="105" t="s">
        <v>104</v>
      </c>
      <c r="K61" s="1140"/>
      <c r="L61" s="1141"/>
    </row>
    <row r="62" spans="1:12" ht="50.1" customHeight="1" x14ac:dyDescent="0.25">
      <c r="A62" s="18">
        <f t="shared" si="0"/>
        <v>50</v>
      </c>
      <c r="B62" s="110">
        <f>'2DEMOGRAPHICS'!B62</f>
        <v>50</v>
      </c>
      <c r="C62" s="111" t="str">
        <f>'2DEMOGRAPHICS'!C62</f>
        <v>aaaaa11111aaaaa</v>
      </c>
      <c r="D62" s="112">
        <f>'2DEMOGRAPHICS'!D62</f>
        <v>44105</v>
      </c>
      <c r="E62" s="113">
        <f>'2DEMOGRAPHICS'!E62</f>
        <v>44139</v>
      </c>
      <c r="F62" s="735" t="s">
        <v>104</v>
      </c>
      <c r="G62" s="737"/>
      <c r="H62" s="87" t="s">
        <v>405</v>
      </c>
      <c r="I62" s="599"/>
      <c r="J62" s="105" t="s">
        <v>104</v>
      </c>
      <c r="K62" s="1140"/>
      <c r="L62" s="1141"/>
    </row>
    <row r="63" spans="1:12" x14ac:dyDescent="0.25">
      <c r="A63" s="10"/>
      <c r="H63" s="739"/>
    </row>
    <row r="64" spans="1:12" x14ac:dyDescent="0.25">
      <c r="A64" s="10"/>
      <c r="H64" s="739"/>
    </row>
    <row r="65" spans="1:8" x14ac:dyDescent="0.25">
      <c r="A65" s="10"/>
      <c r="H65" s="739"/>
    </row>
    <row r="66" spans="1:8" x14ac:dyDescent="0.25">
      <c r="A66" s="10"/>
      <c r="H66" s="739"/>
    </row>
    <row r="67" spans="1:8" x14ac:dyDescent="0.25">
      <c r="A67" s="10"/>
      <c r="H67" s="739"/>
    </row>
    <row r="68" spans="1:8" x14ac:dyDescent="0.25">
      <c r="A68" s="10"/>
      <c r="H68" s="739"/>
    </row>
    <row r="69" spans="1:8" x14ac:dyDescent="0.25">
      <c r="H69" s="739"/>
    </row>
    <row r="70" spans="1:8" x14ac:dyDescent="0.25">
      <c r="H70" s="739"/>
    </row>
    <row r="71" spans="1:8" x14ac:dyDescent="0.25">
      <c r="H71" s="739"/>
    </row>
    <row r="72" spans="1:8" x14ac:dyDescent="0.25">
      <c r="H72" s="739"/>
    </row>
  </sheetData>
  <mergeCells count="71">
    <mergeCell ref="K59:L59"/>
    <mergeCell ref="K60:L60"/>
    <mergeCell ref="K61:L61"/>
    <mergeCell ref="K62:L62"/>
    <mergeCell ref="K1:L1"/>
    <mergeCell ref="K49:L49"/>
    <mergeCell ref="K50:L50"/>
    <mergeCell ref="K51:L51"/>
    <mergeCell ref="K52:L52"/>
    <mergeCell ref="K53:L53"/>
    <mergeCell ref="K54:L54"/>
    <mergeCell ref="K41:L41"/>
    <mergeCell ref="K42:L42"/>
    <mergeCell ref="K43:L43"/>
    <mergeCell ref="K44:L44"/>
    <mergeCell ref="K45:L45"/>
    <mergeCell ref="K46:L46"/>
    <mergeCell ref="K35:L35"/>
    <mergeCell ref="K36:L36"/>
    <mergeCell ref="K37:L37"/>
    <mergeCell ref="K38:L38"/>
    <mergeCell ref="K39:L39"/>
    <mergeCell ref="K40:L40"/>
    <mergeCell ref="K18:L18"/>
    <mergeCell ref="K19:L19"/>
    <mergeCell ref="K20:L20"/>
    <mergeCell ref="K25:L25"/>
    <mergeCell ref="K26:L26"/>
    <mergeCell ref="K13:L13"/>
    <mergeCell ref="K14:L14"/>
    <mergeCell ref="K15:L15"/>
    <mergeCell ref="K16:L16"/>
    <mergeCell ref="K17:L17"/>
    <mergeCell ref="K55:L55"/>
    <mergeCell ref="K56:L56"/>
    <mergeCell ref="K57:L57"/>
    <mergeCell ref="K58:L58"/>
    <mergeCell ref="K47:L47"/>
    <mergeCell ref="K48:L48"/>
    <mergeCell ref="K31:L31"/>
    <mergeCell ref="K32:L32"/>
    <mergeCell ref="K33:L33"/>
    <mergeCell ref="K34:L34"/>
    <mergeCell ref="K21:L21"/>
    <mergeCell ref="K22:L22"/>
    <mergeCell ref="K23:L23"/>
    <mergeCell ref="K24:L24"/>
    <mergeCell ref="K30:L30"/>
    <mergeCell ref="K27:L27"/>
    <mergeCell ref="K28:L28"/>
    <mergeCell ref="K29:L29"/>
    <mergeCell ref="K12:L12"/>
    <mergeCell ref="E6:H6"/>
    <mergeCell ref="E7:H7"/>
    <mergeCell ref="G10:H10"/>
    <mergeCell ref="A10:D10"/>
    <mergeCell ref="E10:F10"/>
    <mergeCell ref="A7:D7"/>
    <mergeCell ref="A8:D9"/>
    <mergeCell ref="E8:H9"/>
    <mergeCell ref="A11:L11"/>
    <mergeCell ref="I7:K7"/>
    <mergeCell ref="I8:K8"/>
    <mergeCell ref="I9:K9"/>
    <mergeCell ref="I10:K10"/>
    <mergeCell ref="A2:L2"/>
    <mergeCell ref="A3:L3"/>
    <mergeCell ref="A4:L4"/>
    <mergeCell ref="A5:L5"/>
    <mergeCell ref="A6:D6"/>
    <mergeCell ref="I6:K6"/>
  </mergeCells>
  <conditionalFormatting sqref="F13:F16 F19:F22">
    <cfRule type="expression" dxfId="31" priority="10">
      <formula>#REF!="YES"</formula>
    </cfRule>
  </conditionalFormatting>
  <conditionalFormatting sqref="F17:F18">
    <cfRule type="expression" dxfId="30" priority="9">
      <formula>#REF!="YES"</formula>
    </cfRule>
  </conditionalFormatting>
  <conditionalFormatting sqref="F23:F26 F29:F32">
    <cfRule type="expression" dxfId="29" priority="8">
      <formula>#REF!="YES"</formula>
    </cfRule>
  </conditionalFormatting>
  <conditionalFormatting sqref="F27:F28">
    <cfRule type="expression" dxfId="28" priority="7">
      <formula>#REF!="YES"</formula>
    </cfRule>
  </conditionalFormatting>
  <conditionalFormatting sqref="F33:F62">
    <cfRule type="expression" dxfId="27" priority="1">
      <formula>#REF!="YES"</formula>
    </cfRule>
  </conditionalFormatting>
  <dataValidations count="3">
    <dataValidation allowBlank="1" showInputMessage="1" showErrorMessage="1" prompt="data will auto populate" sqref="B13:C62" xr:uid="{ABE8E930-814C-4DDA-8752-6DAC2A0EDEA5}"/>
    <dataValidation allowBlank="1" showInputMessage="1" showErrorMessage="1" prompt="date will auto populate" sqref="D13:E62" xr:uid="{1ABB930D-01A9-4097-A526-41E98768369B}"/>
    <dataValidation allowBlank="1" showInputMessage="1" showErrorMessage="1" prompt="Use MM/DD/YYYY format.  Leave blank until date is needed. " sqref="G13:G62" xr:uid="{79821F56-0D52-4430-BD15-0B9AF6C24322}"/>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DBFC08CC-6470-4BA6-BD0B-F8E3E71C2B24}">
          <x14:formula1>
            <xm:f>'Pick List '!$P$130:$P$134</xm:f>
          </x14:formula1>
          <xm:sqref>I25:I62</xm:sqref>
        </x14:dataValidation>
        <x14:dataValidation type="list" allowBlank="1" showInputMessage="1" showErrorMessage="1" xr:uid="{F1171FC1-F622-46A6-97F0-29EE284CB7D7}">
          <x14:formula1>
            <xm:f>'Pick List '!$P$123:$P$126</xm:f>
          </x14:formula1>
          <xm:sqref>K13:K62</xm:sqref>
        </x14:dataValidation>
        <x14:dataValidation type="list" allowBlank="1" showInputMessage="1" showErrorMessage="1" xr:uid="{FCA92FB5-7CC9-42DB-8B47-D71397DA8039}">
          <x14:formula1>
            <xm:f>'Pick List '!$G$15:$G$16</xm:f>
          </x14:formula1>
          <xm:sqref>F13:F62 J13:J62</xm:sqref>
        </x14:dataValidation>
        <x14:dataValidation type="list" allowBlank="1" showInputMessage="1" showErrorMessage="1" xr:uid="{F689CBD7-3B8D-46F9-9637-0C08F720B11D}">
          <x14:formula1>
            <xm:f>'Pick List '!$K$106:$K$114</xm:f>
          </x14:formula1>
          <xm:sqref>H13:H72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B9094-D2FF-414E-B68A-3A0F238D6FE7}">
  <sheetPr>
    <tabColor theme="5" tint="-0.499984740745262"/>
  </sheetPr>
  <dimension ref="A1:CC69"/>
  <sheetViews>
    <sheetView workbookViewId="0">
      <pane ySplit="1" topLeftCell="A2" activePane="bottomLeft" state="frozen"/>
      <selection activeCell="N1" sqref="N1"/>
      <selection pane="bottomLeft" activeCell="AP2" sqref="AP2:CC11"/>
    </sheetView>
  </sheetViews>
  <sheetFormatPr defaultRowHeight="15" x14ac:dyDescent="0.25"/>
  <cols>
    <col min="1" max="1" width="5.28515625" customWidth="1"/>
    <col min="2" max="2" width="13.85546875" customWidth="1"/>
    <col min="3" max="3" width="11.28515625" customWidth="1"/>
    <col min="4" max="4" width="12.42578125" customWidth="1"/>
    <col min="5" max="5" width="12.7109375" customWidth="1"/>
    <col min="6" max="6" width="9.7109375" customWidth="1"/>
    <col min="7" max="16" width="12.7109375" customWidth="1"/>
    <col min="17" max="17" width="10" customWidth="1"/>
    <col min="18" max="22" width="12.7109375" customWidth="1"/>
    <col min="23" max="23" width="10.28515625" customWidth="1"/>
    <col min="24" max="39" width="12.7109375" customWidth="1"/>
  </cols>
  <sheetData>
    <row r="1" spans="1:81" ht="60" customHeight="1" x14ac:dyDescent="0.25">
      <c r="A1" s="13" t="s">
        <v>245</v>
      </c>
      <c r="B1" s="58" t="s">
        <v>336</v>
      </c>
      <c r="C1" s="59" t="s">
        <v>337</v>
      </c>
      <c r="D1" s="58" t="s">
        <v>511</v>
      </c>
      <c r="E1" s="59" t="s">
        <v>785</v>
      </c>
      <c r="F1" s="70" t="s">
        <v>304</v>
      </c>
      <c r="G1" s="157" t="s">
        <v>380</v>
      </c>
      <c r="H1" s="116" t="s">
        <v>306</v>
      </c>
      <c r="I1" s="117" t="s">
        <v>307</v>
      </c>
      <c r="J1" s="118" t="s">
        <v>367</v>
      </c>
      <c r="K1" s="115" t="s">
        <v>366</v>
      </c>
      <c r="L1" s="155" t="s">
        <v>375</v>
      </c>
      <c r="M1" s="162" t="s">
        <v>310</v>
      </c>
      <c r="N1" s="163" t="s">
        <v>311</v>
      </c>
      <c r="O1" s="164" t="s">
        <v>368</v>
      </c>
      <c r="P1" s="165" t="s">
        <v>382</v>
      </c>
      <c r="Q1" s="114" t="s">
        <v>678</v>
      </c>
      <c r="R1" s="166" t="s">
        <v>376</v>
      </c>
      <c r="S1" s="187" t="s">
        <v>314</v>
      </c>
      <c r="T1" s="188" t="s">
        <v>315</v>
      </c>
      <c r="U1" s="189" t="s">
        <v>369</v>
      </c>
      <c r="V1" s="190" t="s">
        <v>381</v>
      </c>
      <c r="W1" s="114" t="s">
        <v>679</v>
      </c>
      <c r="X1" s="191" t="s">
        <v>377</v>
      </c>
      <c r="Y1" s="57" t="s">
        <v>318</v>
      </c>
      <c r="Z1" s="56" t="s">
        <v>319</v>
      </c>
      <c r="AA1" s="192" t="s">
        <v>370</v>
      </c>
      <c r="AB1" s="193" t="s">
        <v>371</v>
      </c>
      <c r="AC1" s="195" t="s">
        <v>378</v>
      </c>
      <c r="AD1" s="196" t="s">
        <v>323</v>
      </c>
      <c r="AE1" s="197" t="s">
        <v>324</v>
      </c>
      <c r="AF1" s="198" t="s">
        <v>384</v>
      </c>
      <c r="AG1" s="199" t="s">
        <v>383</v>
      </c>
      <c r="AH1" s="200" t="s">
        <v>327</v>
      </c>
      <c r="AI1" s="201" t="s">
        <v>328</v>
      </c>
      <c r="AJ1" s="200" t="s">
        <v>329</v>
      </c>
      <c r="AK1" s="202" t="s">
        <v>330</v>
      </c>
      <c r="AL1" s="203" t="s">
        <v>340</v>
      </c>
      <c r="AM1" s="204" t="s">
        <v>331</v>
      </c>
      <c r="AN1" s="205" t="s">
        <v>332</v>
      </c>
    </row>
    <row r="2" spans="1:81" ht="15.75" x14ac:dyDescent="0.25">
      <c r="AP2" s="1102" t="str">
        <f>'BASE GRANTEE INFO &amp; UPDATES'!A1</f>
        <v>WV Bureau for Behavioral Health and Health Facilities -Community Anti-Drug Coalitions of America and Teen Court</v>
      </c>
      <c r="AQ2" s="1103"/>
      <c r="AR2" s="1103"/>
      <c r="AS2" s="1103"/>
      <c r="AT2" s="1103"/>
      <c r="AU2" s="1103"/>
      <c r="AV2" s="1103"/>
      <c r="AW2" s="1103"/>
      <c r="AX2" s="1103"/>
      <c r="AY2" s="1103"/>
      <c r="AZ2" s="1103"/>
      <c r="BA2" s="1103"/>
      <c r="BB2" s="1103"/>
      <c r="BC2" s="1103"/>
      <c r="BD2" s="227"/>
      <c r="BE2" s="79"/>
      <c r="BF2" s="79"/>
      <c r="BG2" s="79"/>
      <c r="BH2" s="228"/>
      <c r="BI2" s="228"/>
      <c r="BJ2" s="228"/>
      <c r="BK2" s="228"/>
      <c r="BL2" s="228"/>
      <c r="BM2" s="228"/>
      <c r="BN2" s="228"/>
      <c r="BO2" s="228"/>
      <c r="BP2" s="228"/>
      <c r="BQ2" s="228"/>
      <c r="BR2" s="228"/>
      <c r="BS2" s="228"/>
      <c r="BT2" s="228"/>
      <c r="BU2" s="228"/>
      <c r="BV2" s="228"/>
      <c r="BW2" s="228"/>
      <c r="BX2" s="228"/>
      <c r="BY2" s="228"/>
      <c r="BZ2" s="228"/>
      <c r="CA2" s="228"/>
      <c r="CB2" s="228"/>
      <c r="CC2" s="229"/>
    </row>
    <row r="3" spans="1:81" ht="15.75" x14ac:dyDescent="0.25">
      <c r="AP3" s="1105" t="str">
        <f>'BASE GRANTEE INFO &amp; UPDATES'!A2</f>
        <v>FISCAL YEAR: 2025 (09/30/2024 - 09/29/2025)</v>
      </c>
      <c r="AQ3" s="1106"/>
      <c r="AR3" s="1106"/>
      <c r="AS3" s="1106"/>
      <c r="AT3" s="1106"/>
      <c r="AU3" s="1106"/>
      <c r="AV3" s="1106"/>
      <c r="AW3" s="1106"/>
      <c r="AX3" s="1106"/>
      <c r="AY3" s="1106"/>
      <c r="AZ3" s="1106"/>
      <c r="BA3" s="1106"/>
      <c r="BB3" s="1106"/>
      <c r="BC3" s="1106"/>
      <c r="BD3" s="170"/>
      <c r="BE3" s="80"/>
      <c r="BF3" s="80"/>
      <c r="BG3" s="80"/>
      <c r="BH3" s="82"/>
      <c r="BI3" s="82"/>
      <c r="BJ3" s="82"/>
      <c r="BK3" s="82"/>
      <c r="BL3" s="82"/>
      <c r="BM3" s="82"/>
      <c r="BN3" s="82"/>
      <c r="BO3" s="82"/>
      <c r="BP3" s="82"/>
      <c r="BQ3" s="82"/>
      <c r="BR3" s="82"/>
      <c r="BS3" s="82"/>
      <c r="BT3" s="82"/>
      <c r="BU3" s="82"/>
      <c r="BV3" s="82"/>
      <c r="BW3" s="82"/>
      <c r="BX3" s="82"/>
      <c r="BY3" s="82"/>
      <c r="BZ3" s="82"/>
      <c r="CA3" s="82"/>
      <c r="CB3" s="82"/>
      <c r="CC3" s="83"/>
    </row>
    <row r="4" spans="1:81" ht="15.75" x14ac:dyDescent="0.25">
      <c r="AP4" s="1108" t="str">
        <f>'BASE GRANTEE INFO &amp; UPDATES'!A3</f>
        <v xml:space="preserve">Program reports need to be submitted electronically, via e-mail to BBHReporting@wv.gov  within 25 calendar days of the end of each month </v>
      </c>
      <c r="AQ4" s="1109"/>
      <c r="AR4" s="1109"/>
      <c r="AS4" s="1109"/>
      <c r="AT4" s="1109"/>
      <c r="AU4" s="1109"/>
      <c r="AV4" s="1109"/>
      <c r="AW4" s="1109"/>
      <c r="AX4" s="1109"/>
      <c r="AY4" s="1109"/>
      <c r="AZ4" s="1109"/>
      <c r="BA4" s="1109"/>
      <c r="BB4" s="1109"/>
      <c r="BC4" s="1109"/>
      <c r="BD4" s="171"/>
      <c r="BE4" s="81"/>
      <c r="BF4" s="81"/>
      <c r="BG4" s="81"/>
      <c r="BH4" s="82"/>
      <c r="BI4" s="82"/>
      <c r="BJ4" s="82"/>
      <c r="BK4" s="82"/>
      <c r="BL4" s="82"/>
      <c r="BM4" s="82"/>
      <c r="BN4" s="82"/>
      <c r="BO4" s="82"/>
      <c r="BP4" s="82"/>
      <c r="BQ4" s="82"/>
      <c r="BR4" s="82"/>
      <c r="BS4" s="82"/>
      <c r="BT4" s="82"/>
      <c r="BU4" s="82"/>
      <c r="BV4" s="82"/>
      <c r="BW4" s="82"/>
      <c r="BX4" s="82"/>
      <c r="BY4" s="82"/>
      <c r="BZ4" s="82"/>
      <c r="CA4" s="82"/>
      <c r="CB4" s="82"/>
      <c r="CC4" s="83"/>
    </row>
    <row r="5" spans="1:81" ht="18.75" x14ac:dyDescent="0.25">
      <c r="AP5" s="1112" t="s">
        <v>436</v>
      </c>
      <c r="AQ5" s="1112"/>
      <c r="AR5" s="1112"/>
      <c r="AS5" s="1112"/>
      <c r="AT5" s="1112"/>
      <c r="AU5" s="1112"/>
      <c r="AV5" s="1112"/>
      <c r="AW5" s="1112"/>
      <c r="AX5" s="1112"/>
      <c r="AY5" s="1112"/>
      <c r="AZ5" s="1112"/>
      <c r="BA5" s="1112"/>
      <c r="BB5" s="1112"/>
      <c r="BC5" s="1112"/>
      <c r="BD5" s="172"/>
      <c r="BE5" s="12"/>
      <c r="BF5" s="12"/>
      <c r="BG5" s="12"/>
      <c r="BH5" s="82"/>
      <c r="BI5" s="82"/>
      <c r="BJ5" s="82"/>
      <c r="BK5" s="82"/>
      <c r="BL5" s="82"/>
      <c r="BM5" s="82"/>
      <c r="BN5" s="82"/>
      <c r="BO5" s="82"/>
      <c r="BP5" s="82"/>
      <c r="BQ5" s="82"/>
      <c r="BR5" s="82"/>
      <c r="BS5" s="82"/>
      <c r="BT5" s="82"/>
      <c r="BU5" s="82"/>
      <c r="BV5" s="82"/>
      <c r="BW5" s="82"/>
      <c r="BX5" s="82"/>
      <c r="BY5" s="82"/>
      <c r="BZ5" s="82"/>
      <c r="CA5" s="82"/>
      <c r="CB5" s="82"/>
      <c r="CC5" s="83"/>
    </row>
    <row r="6" spans="1:81" ht="20.100000000000001" customHeight="1" x14ac:dyDescent="0.25">
      <c r="AP6" s="1142" t="s">
        <v>0</v>
      </c>
      <c r="AQ6" s="1142"/>
      <c r="AR6" s="1142"/>
      <c r="AS6" s="1142"/>
      <c r="AT6" s="1152" t="str">
        <f>'BASE GRANTEE INFO &amp; UPDATES'!E5</f>
        <v xml:space="preserve">Community Anti-Drug Coalitions of America (CADCA) and Teen Court </v>
      </c>
      <c r="AU6" s="1153"/>
      <c r="AV6" s="1153"/>
      <c r="AW6" s="1154"/>
      <c r="AX6" s="1146" t="s">
        <v>1</v>
      </c>
      <c r="AY6" s="1147"/>
      <c r="AZ6" s="1147"/>
      <c r="BA6" s="1148">
        <f>'BASE GRANTEE INFO &amp; UPDATES'!M5</f>
        <v>0</v>
      </c>
      <c r="BB6" s="1148"/>
      <c r="BC6" s="1148"/>
      <c r="BD6" s="125"/>
      <c r="BE6" s="93"/>
      <c r="BF6" s="93"/>
      <c r="BG6" s="93"/>
      <c r="BH6" s="82"/>
      <c r="BI6" s="82"/>
      <c r="BJ6" s="82"/>
      <c r="BK6" s="82"/>
      <c r="BL6" s="82"/>
      <c r="BM6" s="82"/>
      <c r="BN6" s="82"/>
      <c r="BO6" s="82"/>
      <c r="BP6" s="82"/>
      <c r="BQ6" s="82"/>
      <c r="BR6" s="82"/>
      <c r="BS6" s="82"/>
      <c r="BT6" s="82"/>
      <c r="BU6" s="82"/>
      <c r="BV6" s="82"/>
      <c r="BW6" s="82"/>
      <c r="BX6" s="82"/>
      <c r="BY6" s="82"/>
      <c r="BZ6" s="82"/>
      <c r="CA6" s="82"/>
      <c r="CB6" s="82"/>
      <c r="CC6" s="83"/>
    </row>
    <row r="7" spans="1:81" ht="20.100000000000001" customHeight="1" x14ac:dyDescent="0.25">
      <c r="AP7" s="1142" t="s">
        <v>2</v>
      </c>
      <c r="AQ7" s="1142"/>
      <c r="AR7" s="1142"/>
      <c r="AS7" s="1142"/>
      <c r="AT7" s="1143" t="str">
        <f>'BASE GRANTEE INFO &amp; UPDATES'!E6</f>
        <v>CADCA In Action and Teen Court</v>
      </c>
      <c r="AU7" s="1144"/>
      <c r="AV7" s="1144"/>
      <c r="AW7" s="1145"/>
      <c r="AX7" s="1146" t="s">
        <v>3</v>
      </c>
      <c r="AY7" s="1147"/>
      <c r="AZ7" s="1147"/>
      <c r="BA7" s="1148">
        <f>'BASE GRANTEE INFO &amp; UPDATES'!M6</f>
        <v>0</v>
      </c>
      <c r="BB7" s="1148"/>
      <c r="BC7" s="1148"/>
      <c r="BD7" s="125"/>
      <c r="BE7" s="93"/>
      <c r="BF7" s="93"/>
      <c r="BG7" s="93"/>
      <c r="BH7" s="82"/>
      <c r="BI7" s="82"/>
      <c r="BJ7" s="82"/>
      <c r="BK7" s="82"/>
      <c r="BL7" s="82"/>
      <c r="BM7" s="82"/>
      <c r="BN7" s="82"/>
      <c r="BO7" s="82"/>
      <c r="BP7" s="82"/>
      <c r="BQ7" s="82"/>
      <c r="BR7" s="82"/>
      <c r="BS7" s="82"/>
      <c r="BT7" s="82"/>
      <c r="BU7" s="82"/>
      <c r="BV7" s="82"/>
      <c r="BW7" s="82"/>
      <c r="BX7" s="82"/>
      <c r="BY7" s="82"/>
      <c r="BZ7" s="82"/>
      <c r="CA7" s="82"/>
      <c r="CB7" s="82"/>
      <c r="CC7" s="83"/>
    </row>
    <row r="8" spans="1:81" ht="20.100000000000001" customHeight="1" x14ac:dyDescent="0.25">
      <c r="AP8" s="1149" t="s">
        <v>4</v>
      </c>
      <c r="AQ8" s="1149"/>
      <c r="AR8" s="1149"/>
      <c r="AS8" s="1149"/>
      <c r="AT8" s="1132">
        <f>'BASE GRANTEE INFO &amp; UPDATES'!E7</f>
        <v>0</v>
      </c>
      <c r="AU8" s="1133"/>
      <c r="AV8" s="1133"/>
      <c r="AW8" s="1134"/>
      <c r="AX8" s="1146" t="s">
        <v>374</v>
      </c>
      <c r="AY8" s="1147"/>
      <c r="AZ8" s="1147"/>
      <c r="BA8" s="1148">
        <f>'BASE GRANTEE INFO &amp; UPDATES'!M7</f>
        <v>0</v>
      </c>
      <c r="BB8" s="1148"/>
      <c r="BC8" s="1148"/>
      <c r="BD8" s="125"/>
      <c r="BE8" s="93"/>
      <c r="BF8" s="93"/>
      <c r="BG8" s="93"/>
      <c r="BH8" s="82"/>
      <c r="BI8" s="82"/>
      <c r="BJ8" s="82"/>
      <c r="BK8" s="82"/>
      <c r="BL8" s="82"/>
      <c r="BM8" s="82"/>
      <c r="BN8" s="82"/>
      <c r="BO8" s="82"/>
      <c r="BP8" s="82"/>
      <c r="BQ8" s="82"/>
      <c r="BR8" s="82"/>
      <c r="BS8" s="82"/>
      <c r="BT8" s="82"/>
      <c r="BU8" s="82"/>
      <c r="BV8" s="82"/>
      <c r="BW8" s="82"/>
      <c r="BX8" s="82"/>
      <c r="BY8" s="82"/>
      <c r="BZ8" s="82"/>
      <c r="CA8" s="82"/>
      <c r="CB8" s="82"/>
      <c r="CC8" s="83"/>
    </row>
    <row r="9" spans="1:81" ht="20.100000000000001" customHeight="1" x14ac:dyDescent="0.25">
      <c r="AP9" s="1149"/>
      <c r="AQ9" s="1149"/>
      <c r="AR9" s="1149"/>
      <c r="AS9" s="1149"/>
      <c r="AT9" s="1135"/>
      <c r="AU9" s="1136"/>
      <c r="AV9" s="1136"/>
      <c r="AW9" s="1137"/>
      <c r="AX9" s="1150" t="s">
        <v>6</v>
      </c>
      <c r="AY9" s="1151"/>
      <c r="AZ9" s="1151"/>
      <c r="BA9" s="1148">
        <f>'BASE GRANTEE INFO &amp; UPDATES'!M8</f>
        <v>0</v>
      </c>
      <c r="BB9" s="1148"/>
      <c r="BC9" s="1148"/>
      <c r="BD9" s="125"/>
      <c r="BE9" s="93"/>
      <c r="BF9" s="93"/>
      <c r="BG9" s="93"/>
      <c r="BH9" s="82"/>
      <c r="BI9" s="82"/>
      <c r="BJ9" s="82"/>
      <c r="BK9" s="82"/>
      <c r="BL9" s="82"/>
      <c r="BM9" s="82"/>
      <c r="BN9" s="82"/>
      <c r="BO9" s="82"/>
      <c r="BP9" s="82"/>
      <c r="BQ9" s="82"/>
      <c r="BR9" s="82"/>
      <c r="BS9" s="82"/>
      <c r="BT9" s="82"/>
      <c r="BU9" s="82"/>
      <c r="BV9" s="82"/>
      <c r="BW9" s="82"/>
      <c r="BX9" s="82"/>
      <c r="BY9" s="82"/>
      <c r="BZ9" s="82"/>
      <c r="CA9" s="82"/>
      <c r="CB9" s="82"/>
      <c r="CC9" s="83"/>
    </row>
    <row r="10" spans="1:81" ht="20.100000000000001" customHeight="1" x14ac:dyDescent="0.25">
      <c r="AP10" s="1142" t="s">
        <v>7</v>
      </c>
      <c r="AQ10" s="1142"/>
      <c r="AR10" s="1142"/>
      <c r="AS10" s="1142"/>
      <c r="AT10" s="879" t="str">
        <f>'BASE GRANTEE INFO &amp; UPDATES'!E9</f>
        <v>September 1 - 30</v>
      </c>
      <c r="AU10" s="879"/>
      <c r="AV10" s="1001">
        <f>'BASE GRANTEE INFO &amp; UPDATES'!G9</f>
        <v>2024</v>
      </c>
      <c r="AW10" s="1002"/>
      <c r="AX10" s="1150" t="s">
        <v>8</v>
      </c>
      <c r="AY10" s="1151"/>
      <c r="AZ10" s="1151"/>
      <c r="BA10" s="1148">
        <f>'BASE GRANTEE INFO &amp; UPDATES'!M9</f>
        <v>0</v>
      </c>
      <c r="BB10" s="1148"/>
      <c r="BC10" s="1148"/>
      <c r="BD10" s="125"/>
      <c r="BE10" s="93"/>
      <c r="BF10" s="93"/>
      <c r="BG10" s="93"/>
      <c r="BH10" s="82"/>
      <c r="BI10" s="82"/>
      <c r="BJ10" s="82"/>
      <c r="BK10" s="82"/>
      <c r="BL10" s="82"/>
      <c r="BM10" s="82"/>
      <c r="BN10" s="82"/>
      <c r="BO10" s="82"/>
      <c r="BP10" s="82"/>
      <c r="BQ10" s="82"/>
      <c r="BR10" s="82"/>
      <c r="BS10" s="82"/>
      <c r="BT10" s="82"/>
      <c r="BU10" s="82"/>
      <c r="BV10" s="82"/>
      <c r="BW10" s="82"/>
      <c r="BX10" s="82"/>
      <c r="BY10" s="82"/>
      <c r="BZ10" s="82"/>
      <c r="CA10" s="82"/>
      <c r="CB10" s="82"/>
      <c r="CC10" s="83"/>
    </row>
    <row r="11" spans="1:81" ht="18.75" x14ac:dyDescent="0.25">
      <c r="AP11" s="1112" t="s">
        <v>360</v>
      </c>
      <c r="AQ11" s="1112"/>
      <c r="AR11" s="1112"/>
      <c r="AS11" s="1112"/>
      <c r="AT11" s="1112"/>
      <c r="AU11" s="1112"/>
      <c r="AV11" s="1112"/>
      <c r="AW11" s="1112"/>
      <c r="AX11" s="1112"/>
      <c r="AY11" s="1112"/>
      <c r="AZ11" s="1112"/>
      <c r="BA11" s="1112"/>
      <c r="BB11" s="1112"/>
      <c r="BC11" s="1112"/>
      <c r="BD11" s="230"/>
      <c r="BE11" s="84"/>
      <c r="BF11" s="84"/>
      <c r="BG11" s="84"/>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2"/>
    </row>
    <row r="12" spans="1:81" ht="60" customHeight="1" x14ac:dyDescent="0.25">
      <c r="A12" s="13" t="s">
        <v>245</v>
      </c>
      <c r="B12" s="58" t="s">
        <v>336</v>
      </c>
      <c r="C12" s="59" t="s">
        <v>337</v>
      </c>
      <c r="D12" s="58" t="s">
        <v>511</v>
      </c>
      <c r="E12" s="59" t="s">
        <v>785</v>
      </c>
      <c r="F12" s="114" t="s">
        <v>304</v>
      </c>
      <c r="G12" s="157" t="s">
        <v>379</v>
      </c>
      <c r="H12" s="116" t="s">
        <v>306</v>
      </c>
      <c r="I12" s="117" t="s">
        <v>307</v>
      </c>
      <c r="J12" s="118" t="s">
        <v>367</v>
      </c>
      <c r="K12" s="119" t="s">
        <v>366</v>
      </c>
      <c r="L12" s="155" t="s">
        <v>375</v>
      </c>
      <c r="M12" s="162" t="s">
        <v>310</v>
      </c>
      <c r="N12" s="163" t="s">
        <v>311</v>
      </c>
      <c r="O12" s="167" t="s">
        <v>368</v>
      </c>
      <c r="P12" s="168" t="s">
        <v>373</v>
      </c>
      <c r="Q12" s="70" t="s">
        <v>678</v>
      </c>
      <c r="R12" s="169" t="s">
        <v>376</v>
      </c>
      <c r="S12" s="206" t="s">
        <v>314</v>
      </c>
      <c r="T12" s="207" t="s">
        <v>315</v>
      </c>
      <c r="U12" s="208" t="s">
        <v>369</v>
      </c>
      <c r="V12" s="209" t="s">
        <v>372</v>
      </c>
      <c r="W12" s="114" t="s">
        <v>679</v>
      </c>
      <c r="X12" s="210" t="s">
        <v>377</v>
      </c>
      <c r="Y12" s="211" t="s">
        <v>318</v>
      </c>
      <c r="Z12" s="212" t="s">
        <v>319</v>
      </c>
      <c r="AA12" s="213" t="s">
        <v>370</v>
      </c>
      <c r="AB12" s="214" t="s">
        <v>371</v>
      </c>
      <c r="AC12" s="216" t="s">
        <v>378</v>
      </c>
      <c r="AD12" s="217" t="s">
        <v>323</v>
      </c>
      <c r="AE12" s="218" t="s">
        <v>324</v>
      </c>
      <c r="AF12" s="219" t="s">
        <v>384</v>
      </c>
      <c r="AG12" s="220" t="s">
        <v>383</v>
      </c>
      <c r="AH12" s="221" t="s">
        <v>327</v>
      </c>
      <c r="AI12" s="222" t="s">
        <v>328</v>
      </c>
      <c r="AJ12" s="221" t="s">
        <v>329</v>
      </c>
      <c r="AK12" s="223" t="s">
        <v>330</v>
      </c>
      <c r="AL12" s="224" t="s">
        <v>340</v>
      </c>
      <c r="AM12" s="225" t="s">
        <v>331</v>
      </c>
      <c r="AN12" s="226" t="s">
        <v>332</v>
      </c>
    </row>
    <row r="13" spans="1:81" ht="39.950000000000003" customHeight="1" x14ac:dyDescent="0.25">
      <c r="A13" s="151">
        <f>ROW(A1)</f>
        <v>1</v>
      </c>
      <c r="B13" s="110">
        <f>'2DEMOGRAPHICS'!B13</f>
        <v>1</v>
      </c>
      <c r="C13" s="111" t="str">
        <f>'2DEMOGRAPHICS'!C13</f>
        <v>aaaaa11111aaaaa</v>
      </c>
      <c r="D13" s="112">
        <f>'2DEMOGRAPHICS'!D13</f>
        <v>44075</v>
      </c>
      <c r="E13" s="113">
        <f>'2DEMOGRAPHICS'!E13</f>
        <v>44077</v>
      </c>
      <c r="F13" s="138" t="s">
        <v>100</v>
      </c>
      <c r="G13" s="158">
        <f>E13+30</f>
        <v>44107</v>
      </c>
      <c r="H13" s="129" t="s">
        <v>100</v>
      </c>
      <c r="I13" s="149" t="s">
        <v>100</v>
      </c>
      <c r="J13" s="131" t="s">
        <v>100</v>
      </c>
      <c r="K13" s="150" t="s">
        <v>22</v>
      </c>
      <c r="L13" s="156">
        <f>E13+60</f>
        <v>44137</v>
      </c>
      <c r="M13" s="146" t="s">
        <v>100</v>
      </c>
      <c r="N13" s="147" t="s">
        <v>100</v>
      </c>
      <c r="O13" s="154" t="s">
        <v>100</v>
      </c>
      <c r="P13" s="148" t="s">
        <v>22</v>
      </c>
      <c r="Q13" s="138" t="s">
        <v>100</v>
      </c>
      <c r="R13" s="159">
        <f>E13+90</f>
        <v>44167</v>
      </c>
      <c r="S13" s="143" t="s">
        <v>100</v>
      </c>
      <c r="T13" s="144" t="s">
        <v>100</v>
      </c>
      <c r="U13" s="153" t="s">
        <v>100</v>
      </c>
      <c r="V13" s="145" t="s">
        <v>22</v>
      </c>
      <c r="W13" s="138" t="s">
        <v>100</v>
      </c>
      <c r="X13" s="160">
        <f>E13+183</f>
        <v>44260</v>
      </c>
      <c r="Y13" s="139" t="s">
        <v>100</v>
      </c>
      <c r="Z13" s="140" t="s">
        <v>100</v>
      </c>
      <c r="AA13" s="152" t="s">
        <v>100</v>
      </c>
      <c r="AB13" s="141" t="s">
        <v>22</v>
      </c>
      <c r="AC13" s="161">
        <f t="shared" ref="AC13:AC44" si="0">E13+365</f>
        <v>44442</v>
      </c>
      <c r="AD13" s="129" t="s">
        <v>100</v>
      </c>
      <c r="AE13" s="130" t="s">
        <v>100</v>
      </c>
      <c r="AF13" s="131" t="s">
        <v>100</v>
      </c>
      <c r="AG13" s="132" t="s">
        <v>22</v>
      </c>
      <c r="AH13" s="133">
        <v>44803</v>
      </c>
      <c r="AI13" s="134" t="s">
        <v>100</v>
      </c>
      <c r="AJ13" s="135" t="s">
        <v>100</v>
      </c>
      <c r="AK13" s="136" t="s">
        <v>100</v>
      </c>
      <c r="AL13" s="137" t="s">
        <v>22</v>
      </c>
      <c r="AM13" s="120">
        <f t="shared" ref="AM13:AM44" si="1">AH13-E13</f>
        <v>726</v>
      </c>
      <c r="AN13" s="138" t="s">
        <v>100</v>
      </c>
    </row>
    <row r="14" spans="1:81" ht="39.950000000000003" customHeight="1" x14ac:dyDescent="0.25">
      <c r="A14" s="151">
        <f t="shared" ref="A14:A23" si="2">ROW(AP2)</f>
        <v>2</v>
      </c>
      <c r="B14" s="110">
        <f>'2DEMOGRAPHICS'!B14</f>
        <v>2</v>
      </c>
      <c r="C14" s="111" t="str">
        <f>'2DEMOGRAPHICS'!C14</f>
        <v>aaaaa11111aaaaa</v>
      </c>
      <c r="D14" s="112">
        <f>'2DEMOGRAPHICS'!D14</f>
        <v>44105</v>
      </c>
      <c r="E14" s="113">
        <f>'2DEMOGRAPHICS'!E14</f>
        <v>44107</v>
      </c>
      <c r="F14" s="138" t="s">
        <v>104</v>
      </c>
      <c r="G14" s="158">
        <f t="shared" ref="G14:G62" si="3">E14+30</f>
        <v>44137</v>
      </c>
      <c r="H14" s="129" t="s">
        <v>104</v>
      </c>
      <c r="I14" s="149" t="s">
        <v>104</v>
      </c>
      <c r="J14" s="131" t="s">
        <v>104</v>
      </c>
      <c r="K14" s="150" t="s">
        <v>22</v>
      </c>
      <c r="L14" s="156">
        <f t="shared" ref="L14:L62" si="4">E14+60</f>
        <v>44167</v>
      </c>
      <c r="M14" s="146" t="s">
        <v>104</v>
      </c>
      <c r="N14" s="147" t="s">
        <v>104</v>
      </c>
      <c r="O14" s="154" t="s">
        <v>104</v>
      </c>
      <c r="P14" s="148" t="s">
        <v>22</v>
      </c>
      <c r="Q14" s="138" t="s">
        <v>104</v>
      </c>
      <c r="R14" s="159">
        <f t="shared" ref="R14:R62" si="5">E14+90</f>
        <v>44197</v>
      </c>
      <c r="S14" s="143" t="s">
        <v>104</v>
      </c>
      <c r="T14" s="144" t="s">
        <v>104</v>
      </c>
      <c r="U14" s="153" t="s">
        <v>104</v>
      </c>
      <c r="V14" s="145" t="s">
        <v>22</v>
      </c>
      <c r="W14" s="138" t="s">
        <v>104</v>
      </c>
      <c r="X14" s="160">
        <f t="shared" ref="X14:X62" si="6">E14+183</f>
        <v>44290</v>
      </c>
      <c r="Y14" s="139" t="s">
        <v>104</v>
      </c>
      <c r="Z14" s="140" t="s">
        <v>104</v>
      </c>
      <c r="AA14" s="152" t="s">
        <v>104</v>
      </c>
      <c r="AB14" s="141" t="s">
        <v>22</v>
      </c>
      <c r="AC14" s="161">
        <f t="shared" si="0"/>
        <v>44472</v>
      </c>
      <c r="AD14" s="129" t="s">
        <v>104</v>
      </c>
      <c r="AE14" s="130" t="s">
        <v>104</v>
      </c>
      <c r="AF14" s="131" t="s">
        <v>104</v>
      </c>
      <c r="AG14" s="132" t="s">
        <v>22</v>
      </c>
      <c r="AH14" s="133">
        <v>44803</v>
      </c>
      <c r="AI14" s="134" t="s">
        <v>104</v>
      </c>
      <c r="AJ14" s="135" t="s">
        <v>104</v>
      </c>
      <c r="AK14" s="136" t="s">
        <v>104</v>
      </c>
      <c r="AL14" s="137" t="s">
        <v>22</v>
      </c>
      <c r="AM14" s="120">
        <f t="shared" si="1"/>
        <v>696</v>
      </c>
      <c r="AN14" s="138" t="s">
        <v>104</v>
      </c>
    </row>
    <row r="15" spans="1:81" ht="39.950000000000003" customHeight="1" x14ac:dyDescent="0.25">
      <c r="A15" s="151">
        <f t="shared" si="2"/>
        <v>3</v>
      </c>
      <c r="B15" s="110">
        <f>'2DEMOGRAPHICS'!B15</f>
        <v>3</v>
      </c>
      <c r="C15" s="111" t="str">
        <f>'2DEMOGRAPHICS'!C15</f>
        <v>aaaaa11111aaaaa</v>
      </c>
      <c r="D15" s="112">
        <f>'2DEMOGRAPHICS'!D15</f>
        <v>44136</v>
      </c>
      <c r="E15" s="113">
        <f>'2DEMOGRAPHICS'!E15</f>
        <v>44137</v>
      </c>
      <c r="F15" s="138" t="s">
        <v>100</v>
      </c>
      <c r="G15" s="158">
        <f t="shared" si="3"/>
        <v>44167</v>
      </c>
      <c r="H15" s="129" t="s">
        <v>100</v>
      </c>
      <c r="I15" s="149" t="s">
        <v>100</v>
      </c>
      <c r="J15" s="131" t="s">
        <v>100</v>
      </c>
      <c r="K15" s="150" t="s">
        <v>22</v>
      </c>
      <c r="L15" s="156">
        <f t="shared" si="4"/>
        <v>44197</v>
      </c>
      <c r="M15" s="146" t="s">
        <v>100</v>
      </c>
      <c r="N15" s="147" t="s">
        <v>100</v>
      </c>
      <c r="O15" s="154" t="s">
        <v>100</v>
      </c>
      <c r="P15" s="148" t="s">
        <v>22</v>
      </c>
      <c r="Q15" s="138" t="s">
        <v>100</v>
      </c>
      <c r="R15" s="159">
        <f t="shared" si="5"/>
        <v>44227</v>
      </c>
      <c r="S15" s="143" t="s">
        <v>100</v>
      </c>
      <c r="T15" s="144" t="s">
        <v>100</v>
      </c>
      <c r="U15" s="153" t="s">
        <v>100</v>
      </c>
      <c r="V15" s="145" t="s">
        <v>22</v>
      </c>
      <c r="W15" s="138" t="s">
        <v>100</v>
      </c>
      <c r="X15" s="160">
        <f t="shared" si="6"/>
        <v>44320</v>
      </c>
      <c r="Y15" s="139" t="s">
        <v>100</v>
      </c>
      <c r="Z15" s="140" t="s">
        <v>100</v>
      </c>
      <c r="AA15" s="152" t="s">
        <v>100</v>
      </c>
      <c r="AB15" s="141" t="s">
        <v>22</v>
      </c>
      <c r="AC15" s="161">
        <f t="shared" si="0"/>
        <v>44502</v>
      </c>
      <c r="AD15" s="129" t="s">
        <v>100</v>
      </c>
      <c r="AE15" s="130" t="s">
        <v>100</v>
      </c>
      <c r="AF15" s="131" t="s">
        <v>100</v>
      </c>
      <c r="AG15" s="132" t="s">
        <v>22</v>
      </c>
      <c r="AH15" s="133">
        <v>44803</v>
      </c>
      <c r="AI15" s="134" t="s">
        <v>100</v>
      </c>
      <c r="AJ15" s="135" t="s">
        <v>100</v>
      </c>
      <c r="AK15" s="136" t="s">
        <v>100</v>
      </c>
      <c r="AL15" s="137" t="s">
        <v>22</v>
      </c>
      <c r="AM15" s="120">
        <f t="shared" si="1"/>
        <v>666</v>
      </c>
      <c r="AN15" s="138" t="s">
        <v>100</v>
      </c>
    </row>
    <row r="16" spans="1:81" ht="39.950000000000003" customHeight="1" x14ac:dyDescent="0.25">
      <c r="A16" s="151">
        <f t="shared" si="2"/>
        <v>4</v>
      </c>
      <c r="B16" s="110">
        <f>'2DEMOGRAPHICS'!B16</f>
        <v>4</v>
      </c>
      <c r="C16" s="111" t="str">
        <f>'2DEMOGRAPHICS'!C16</f>
        <v>aaaaa11111aaaaa</v>
      </c>
      <c r="D16" s="112">
        <f>'2DEMOGRAPHICS'!D16</f>
        <v>44166</v>
      </c>
      <c r="E16" s="113">
        <f>'2DEMOGRAPHICS'!E16</f>
        <v>44170</v>
      </c>
      <c r="F16" s="138" t="s">
        <v>104</v>
      </c>
      <c r="G16" s="158">
        <f t="shared" si="3"/>
        <v>44200</v>
      </c>
      <c r="H16" s="129" t="s">
        <v>104</v>
      </c>
      <c r="I16" s="149" t="s">
        <v>104</v>
      </c>
      <c r="J16" s="131" t="s">
        <v>104</v>
      </c>
      <c r="K16" s="150" t="s">
        <v>22</v>
      </c>
      <c r="L16" s="156">
        <f t="shared" si="4"/>
        <v>44230</v>
      </c>
      <c r="M16" s="146" t="s">
        <v>104</v>
      </c>
      <c r="N16" s="147" t="s">
        <v>104</v>
      </c>
      <c r="O16" s="154" t="s">
        <v>104</v>
      </c>
      <c r="P16" s="148" t="s">
        <v>22</v>
      </c>
      <c r="Q16" s="138" t="s">
        <v>104</v>
      </c>
      <c r="R16" s="159">
        <f t="shared" si="5"/>
        <v>44260</v>
      </c>
      <c r="S16" s="143" t="s">
        <v>104</v>
      </c>
      <c r="T16" s="144" t="s">
        <v>104</v>
      </c>
      <c r="U16" s="153" t="s">
        <v>104</v>
      </c>
      <c r="V16" s="145" t="s">
        <v>22</v>
      </c>
      <c r="W16" s="138" t="s">
        <v>104</v>
      </c>
      <c r="X16" s="160">
        <f t="shared" si="6"/>
        <v>44353</v>
      </c>
      <c r="Y16" s="139" t="s">
        <v>104</v>
      </c>
      <c r="Z16" s="140" t="s">
        <v>104</v>
      </c>
      <c r="AA16" s="152" t="s">
        <v>104</v>
      </c>
      <c r="AB16" s="141" t="s">
        <v>22</v>
      </c>
      <c r="AC16" s="161">
        <f t="shared" si="0"/>
        <v>44535</v>
      </c>
      <c r="AD16" s="129" t="s">
        <v>104</v>
      </c>
      <c r="AE16" s="130" t="s">
        <v>104</v>
      </c>
      <c r="AF16" s="131" t="s">
        <v>104</v>
      </c>
      <c r="AG16" s="132" t="s">
        <v>22</v>
      </c>
      <c r="AH16" s="133">
        <v>44803</v>
      </c>
      <c r="AI16" s="134" t="s">
        <v>104</v>
      </c>
      <c r="AJ16" s="135" t="s">
        <v>104</v>
      </c>
      <c r="AK16" s="136" t="s">
        <v>104</v>
      </c>
      <c r="AL16" s="137" t="s">
        <v>22</v>
      </c>
      <c r="AM16" s="120">
        <f t="shared" si="1"/>
        <v>633</v>
      </c>
      <c r="AN16" s="138" t="s">
        <v>104</v>
      </c>
    </row>
    <row r="17" spans="1:40" ht="39.950000000000003" customHeight="1" x14ac:dyDescent="0.25">
      <c r="A17" s="151">
        <f t="shared" si="2"/>
        <v>5</v>
      </c>
      <c r="B17" s="110">
        <f>'2DEMOGRAPHICS'!B17</f>
        <v>5</v>
      </c>
      <c r="C17" s="111" t="str">
        <f>'2DEMOGRAPHICS'!C17</f>
        <v>aaaaa11111aaaaa</v>
      </c>
      <c r="D17" s="112">
        <f>'2DEMOGRAPHICS'!D17</f>
        <v>44197</v>
      </c>
      <c r="E17" s="113">
        <f>'2DEMOGRAPHICS'!E17</f>
        <v>44201</v>
      </c>
      <c r="F17" s="138" t="s">
        <v>100</v>
      </c>
      <c r="G17" s="158">
        <f t="shared" si="3"/>
        <v>44231</v>
      </c>
      <c r="H17" s="129" t="s">
        <v>100</v>
      </c>
      <c r="I17" s="149" t="s">
        <v>100</v>
      </c>
      <c r="J17" s="131" t="s">
        <v>100</v>
      </c>
      <c r="K17" s="150" t="s">
        <v>22</v>
      </c>
      <c r="L17" s="156">
        <f t="shared" si="4"/>
        <v>44261</v>
      </c>
      <c r="M17" s="146" t="s">
        <v>100</v>
      </c>
      <c r="N17" s="147" t="s">
        <v>100</v>
      </c>
      <c r="O17" s="154" t="s">
        <v>100</v>
      </c>
      <c r="P17" s="148" t="s">
        <v>22</v>
      </c>
      <c r="Q17" s="138" t="s">
        <v>100</v>
      </c>
      <c r="R17" s="159">
        <f t="shared" si="5"/>
        <v>44291</v>
      </c>
      <c r="S17" s="143" t="s">
        <v>100</v>
      </c>
      <c r="T17" s="144" t="s">
        <v>100</v>
      </c>
      <c r="U17" s="153" t="s">
        <v>100</v>
      </c>
      <c r="V17" s="145" t="s">
        <v>22</v>
      </c>
      <c r="W17" s="138" t="s">
        <v>100</v>
      </c>
      <c r="X17" s="160">
        <f t="shared" si="6"/>
        <v>44384</v>
      </c>
      <c r="Y17" s="139" t="s">
        <v>100</v>
      </c>
      <c r="Z17" s="140" t="s">
        <v>100</v>
      </c>
      <c r="AA17" s="152" t="s">
        <v>100</v>
      </c>
      <c r="AB17" s="141" t="s">
        <v>22</v>
      </c>
      <c r="AC17" s="161">
        <f t="shared" si="0"/>
        <v>44566</v>
      </c>
      <c r="AD17" s="129" t="s">
        <v>100</v>
      </c>
      <c r="AE17" s="130" t="s">
        <v>100</v>
      </c>
      <c r="AF17" s="131" t="s">
        <v>100</v>
      </c>
      <c r="AG17" s="132" t="s">
        <v>22</v>
      </c>
      <c r="AH17" s="133">
        <v>44803</v>
      </c>
      <c r="AI17" s="134" t="s">
        <v>100</v>
      </c>
      <c r="AJ17" s="135" t="s">
        <v>100</v>
      </c>
      <c r="AK17" s="136" t="s">
        <v>100</v>
      </c>
      <c r="AL17" s="137" t="s">
        <v>22</v>
      </c>
      <c r="AM17" s="120">
        <f t="shared" si="1"/>
        <v>602</v>
      </c>
      <c r="AN17" s="138" t="s">
        <v>100</v>
      </c>
    </row>
    <row r="18" spans="1:40" ht="39.950000000000003" customHeight="1" x14ac:dyDescent="0.25">
      <c r="A18" s="151">
        <f t="shared" si="2"/>
        <v>6</v>
      </c>
      <c r="B18" s="110">
        <f>'2DEMOGRAPHICS'!B18</f>
        <v>6</v>
      </c>
      <c r="C18" s="111" t="str">
        <f>'2DEMOGRAPHICS'!C18</f>
        <v>aaaaa11111aaaaa</v>
      </c>
      <c r="D18" s="112">
        <f>'2DEMOGRAPHICS'!D18</f>
        <v>44228</v>
      </c>
      <c r="E18" s="113">
        <f>'2DEMOGRAPHICS'!E18</f>
        <v>44230</v>
      </c>
      <c r="F18" s="138" t="s">
        <v>104</v>
      </c>
      <c r="G18" s="158">
        <f t="shared" si="3"/>
        <v>44260</v>
      </c>
      <c r="H18" s="129" t="s">
        <v>104</v>
      </c>
      <c r="I18" s="149" t="s">
        <v>104</v>
      </c>
      <c r="J18" s="131" t="s">
        <v>104</v>
      </c>
      <c r="K18" s="150" t="s">
        <v>22</v>
      </c>
      <c r="L18" s="156">
        <f t="shared" si="4"/>
        <v>44290</v>
      </c>
      <c r="M18" s="146" t="s">
        <v>104</v>
      </c>
      <c r="N18" s="147" t="s">
        <v>104</v>
      </c>
      <c r="O18" s="154" t="s">
        <v>104</v>
      </c>
      <c r="P18" s="148" t="s">
        <v>22</v>
      </c>
      <c r="Q18" s="138" t="s">
        <v>104</v>
      </c>
      <c r="R18" s="159">
        <f t="shared" si="5"/>
        <v>44320</v>
      </c>
      <c r="S18" s="143" t="s">
        <v>104</v>
      </c>
      <c r="T18" s="144" t="s">
        <v>104</v>
      </c>
      <c r="U18" s="153" t="s">
        <v>104</v>
      </c>
      <c r="V18" s="145" t="s">
        <v>22</v>
      </c>
      <c r="W18" s="138" t="s">
        <v>104</v>
      </c>
      <c r="X18" s="160">
        <f t="shared" si="6"/>
        <v>44413</v>
      </c>
      <c r="Y18" s="139" t="s">
        <v>104</v>
      </c>
      <c r="Z18" s="140" t="s">
        <v>104</v>
      </c>
      <c r="AA18" s="152" t="s">
        <v>104</v>
      </c>
      <c r="AB18" s="141" t="s">
        <v>22</v>
      </c>
      <c r="AC18" s="161">
        <f t="shared" si="0"/>
        <v>44595</v>
      </c>
      <c r="AD18" s="129" t="s">
        <v>104</v>
      </c>
      <c r="AE18" s="130" t="s">
        <v>104</v>
      </c>
      <c r="AF18" s="131" t="s">
        <v>104</v>
      </c>
      <c r="AG18" s="132" t="s">
        <v>22</v>
      </c>
      <c r="AH18" s="133">
        <v>44803</v>
      </c>
      <c r="AI18" s="134" t="s">
        <v>104</v>
      </c>
      <c r="AJ18" s="135" t="s">
        <v>104</v>
      </c>
      <c r="AK18" s="136" t="s">
        <v>104</v>
      </c>
      <c r="AL18" s="137" t="s">
        <v>22</v>
      </c>
      <c r="AM18" s="120">
        <f t="shared" si="1"/>
        <v>573</v>
      </c>
      <c r="AN18" s="138" t="s">
        <v>104</v>
      </c>
    </row>
    <row r="19" spans="1:40" ht="39.950000000000003" customHeight="1" x14ac:dyDescent="0.25">
      <c r="A19" s="151">
        <f t="shared" si="2"/>
        <v>7</v>
      </c>
      <c r="B19" s="110">
        <f>'2DEMOGRAPHICS'!B19</f>
        <v>7</v>
      </c>
      <c r="C19" s="111" t="str">
        <f>'2DEMOGRAPHICS'!C19</f>
        <v>aaaaa11111aaaaa</v>
      </c>
      <c r="D19" s="112">
        <f>'2DEMOGRAPHICS'!D19</f>
        <v>44256</v>
      </c>
      <c r="E19" s="113">
        <f>'2DEMOGRAPHICS'!E19</f>
        <v>44259</v>
      </c>
      <c r="F19" s="138" t="s">
        <v>100</v>
      </c>
      <c r="G19" s="158">
        <f t="shared" si="3"/>
        <v>44289</v>
      </c>
      <c r="H19" s="129" t="s">
        <v>100</v>
      </c>
      <c r="I19" s="149" t="s">
        <v>100</v>
      </c>
      <c r="J19" s="131" t="s">
        <v>100</v>
      </c>
      <c r="K19" s="150" t="s">
        <v>22</v>
      </c>
      <c r="L19" s="156">
        <f t="shared" si="4"/>
        <v>44319</v>
      </c>
      <c r="M19" s="146" t="s">
        <v>100</v>
      </c>
      <c r="N19" s="147" t="s">
        <v>100</v>
      </c>
      <c r="O19" s="154" t="s">
        <v>100</v>
      </c>
      <c r="P19" s="148" t="s">
        <v>22</v>
      </c>
      <c r="Q19" s="138" t="s">
        <v>100</v>
      </c>
      <c r="R19" s="159">
        <f t="shared" si="5"/>
        <v>44349</v>
      </c>
      <c r="S19" s="143" t="s">
        <v>100</v>
      </c>
      <c r="T19" s="144" t="s">
        <v>100</v>
      </c>
      <c r="U19" s="153" t="s">
        <v>100</v>
      </c>
      <c r="V19" s="145" t="s">
        <v>22</v>
      </c>
      <c r="W19" s="138" t="s">
        <v>100</v>
      </c>
      <c r="X19" s="160">
        <f t="shared" si="6"/>
        <v>44442</v>
      </c>
      <c r="Y19" s="139" t="s">
        <v>100</v>
      </c>
      <c r="Z19" s="140" t="s">
        <v>100</v>
      </c>
      <c r="AA19" s="152" t="s">
        <v>100</v>
      </c>
      <c r="AB19" s="141" t="s">
        <v>22</v>
      </c>
      <c r="AC19" s="161">
        <f t="shared" si="0"/>
        <v>44624</v>
      </c>
      <c r="AD19" s="129" t="s">
        <v>100</v>
      </c>
      <c r="AE19" s="130" t="s">
        <v>100</v>
      </c>
      <c r="AF19" s="131" t="s">
        <v>100</v>
      </c>
      <c r="AG19" s="132" t="s">
        <v>22</v>
      </c>
      <c r="AH19" s="133">
        <v>44803</v>
      </c>
      <c r="AI19" s="134" t="s">
        <v>100</v>
      </c>
      <c r="AJ19" s="135" t="s">
        <v>100</v>
      </c>
      <c r="AK19" s="136" t="s">
        <v>100</v>
      </c>
      <c r="AL19" s="137" t="s">
        <v>22</v>
      </c>
      <c r="AM19" s="120">
        <f t="shared" si="1"/>
        <v>544</v>
      </c>
      <c r="AN19" s="138" t="s">
        <v>100</v>
      </c>
    </row>
    <row r="20" spans="1:40" ht="39.950000000000003" customHeight="1" x14ac:dyDescent="0.25">
      <c r="A20" s="151">
        <f t="shared" si="2"/>
        <v>8</v>
      </c>
      <c r="B20" s="110">
        <f>'2DEMOGRAPHICS'!B20</f>
        <v>8</v>
      </c>
      <c r="C20" s="111" t="str">
        <f>'2DEMOGRAPHICS'!C20</f>
        <v>aaaaa11111aaaaa</v>
      </c>
      <c r="D20" s="112">
        <f>'2DEMOGRAPHICS'!D20</f>
        <v>44287</v>
      </c>
      <c r="E20" s="113">
        <f>'2DEMOGRAPHICS'!E20</f>
        <v>44291</v>
      </c>
      <c r="F20" s="138" t="s">
        <v>104</v>
      </c>
      <c r="G20" s="158">
        <f t="shared" si="3"/>
        <v>44321</v>
      </c>
      <c r="H20" s="129" t="s">
        <v>104</v>
      </c>
      <c r="I20" s="149" t="s">
        <v>104</v>
      </c>
      <c r="J20" s="131" t="s">
        <v>104</v>
      </c>
      <c r="K20" s="150" t="s">
        <v>22</v>
      </c>
      <c r="L20" s="156">
        <f t="shared" si="4"/>
        <v>44351</v>
      </c>
      <c r="M20" s="146" t="s">
        <v>104</v>
      </c>
      <c r="N20" s="147" t="s">
        <v>104</v>
      </c>
      <c r="O20" s="154" t="s">
        <v>104</v>
      </c>
      <c r="P20" s="148" t="s">
        <v>22</v>
      </c>
      <c r="Q20" s="138" t="s">
        <v>104</v>
      </c>
      <c r="R20" s="159">
        <f t="shared" si="5"/>
        <v>44381</v>
      </c>
      <c r="S20" s="143" t="s">
        <v>104</v>
      </c>
      <c r="T20" s="144" t="s">
        <v>104</v>
      </c>
      <c r="U20" s="153" t="s">
        <v>104</v>
      </c>
      <c r="V20" s="145" t="s">
        <v>22</v>
      </c>
      <c r="W20" s="138" t="s">
        <v>104</v>
      </c>
      <c r="X20" s="160">
        <f t="shared" si="6"/>
        <v>44474</v>
      </c>
      <c r="Y20" s="139" t="s">
        <v>104</v>
      </c>
      <c r="Z20" s="140" t="s">
        <v>104</v>
      </c>
      <c r="AA20" s="152" t="s">
        <v>104</v>
      </c>
      <c r="AB20" s="141" t="s">
        <v>22</v>
      </c>
      <c r="AC20" s="161">
        <f t="shared" si="0"/>
        <v>44656</v>
      </c>
      <c r="AD20" s="129" t="s">
        <v>104</v>
      </c>
      <c r="AE20" s="130" t="s">
        <v>104</v>
      </c>
      <c r="AF20" s="131" t="s">
        <v>104</v>
      </c>
      <c r="AG20" s="132" t="s">
        <v>22</v>
      </c>
      <c r="AH20" s="133">
        <v>44803</v>
      </c>
      <c r="AI20" s="134" t="s">
        <v>104</v>
      </c>
      <c r="AJ20" s="135" t="s">
        <v>104</v>
      </c>
      <c r="AK20" s="136" t="s">
        <v>104</v>
      </c>
      <c r="AL20" s="137" t="s">
        <v>22</v>
      </c>
      <c r="AM20" s="120">
        <f t="shared" si="1"/>
        <v>512</v>
      </c>
      <c r="AN20" s="138" t="s">
        <v>104</v>
      </c>
    </row>
    <row r="21" spans="1:40" ht="39.950000000000003" customHeight="1" x14ac:dyDescent="0.25">
      <c r="A21" s="151">
        <f t="shared" si="2"/>
        <v>9</v>
      </c>
      <c r="B21" s="110">
        <f>'2DEMOGRAPHICS'!B21</f>
        <v>9</v>
      </c>
      <c r="C21" s="111" t="str">
        <f>'2DEMOGRAPHICS'!C21</f>
        <v>aaaaa11111aaaaa</v>
      </c>
      <c r="D21" s="112">
        <f>'2DEMOGRAPHICS'!D21</f>
        <v>44317</v>
      </c>
      <c r="E21" s="113">
        <f>'2DEMOGRAPHICS'!E21</f>
        <v>44319</v>
      </c>
      <c r="F21" s="138" t="s">
        <v>100</v>
      </c>
      <c r="G21" s="158">
        <f t="shared" si="3"/>
        <v>44349</v>
      </c>
      <c r="H21" s="129" t="s">
        <v>100</v>
      </c>
      <c r="I21" s="149" t="s">
        <v>100</v>
      </c>
      <c r="J21" s="131" t="s">
        <v>100</v>
      </c>
      <c r="K21" s="150" t="s">
        <v>22</v>
      </c>
      <c r="L21" s="156">
        <f t="shared" si="4"/>
        <v>44379</v>
      </c>
      <c r="M21" s="146" t="s">
        <v>100</v>
      </c>
      <c r="N21" s="147" t="s">
        <v>100</v>
      </c>
      <c r="O21" s="154" t="s">
        <v>100</v>
      </c>
      <c r="P21" s="148" t="s">
        <v>22</v>
      </c>
      <c r="Q21" s="138" t="s">
        <v>100</v>
      </c>
      <c r="R21" s="159">
        <f t="shared" si="5"/>
        <v>44409</v>
      </c>
      <c r="S21" s="143" t="s">
        <v>100</v>
      </c>
      <c r="T21" s="144" t="s">
        <v>100</v>
      </c>
      <c r="U21" s="153" t="s">
        <v>100</v>
      </c>
      <c r="V21" s="145" t="s">
        <v>22</v>
      </c>
      <c r="W21" s="138" t="s">
        <v>100</v>
      </c>
      <c r="X21" s="160">
        <f t="shared" si="6"/>
        <v>44502</v>
      </c>
      <c r="Y21" s="139" t="s">
        <v>100</v>
      </c>
      <c r="Z21" s="140" t="s">
        <v>100</v>
      </c>
      <c r="AA21" s="152" t="s">
        <v>100</v>
      </c>
      <c r="AB21" s="141" t="s">
        <v>22</v>
      </c>
      <c r="AC21" s="161">
        <f t="shared" si="0"/>
        <v>44684</v>
      </c>
      <c r="AD21" s="129" t="s">
        <v>100</v>
      </c>
      <c r="AE21" s="130" t="s">
        <v>100</v>
      </c>
      <c r="AF21" s="131" t="s">
        <v>100</v>
      </c>
      <c r="AG21" s="132" t="s">
        <v>22</v>
      </c>
      <c r="AH21" s="133">
        <v>44803</v>
      </c>
      <c r="AI21" s="134" t="s">
        <v>100</v>
      </c>
      <c r="AJ21" s="135" t="s">
        <v>100</v>
      </c>
      <c r="AK21" s="136" t="s">
        <v>100</v>
      </c>
      <c r="AL21" s="137" t="s">
        <v>22</v>
      </c>
      <c r="AM21" s="120">
        <f t="shared" si="1"/>
        <v>484</v>
      </c>
      <c r="AN21" s="138" t="s">
        <v>100</v>
      </c>
    </row>
    <row r="22" spans="1:40" ht="39.950000000000003" customHeight="1" x14ac:dyDescent="0.25">
      <c r="A22" s="151">
        <f t="shared" si="2"/>
        <v>10</v>
      </c>
      <c r="B22" s="110">
        <f>'2DEMOGRAPHICS'!B22</f>
        <v>10</v>
      </c>
      <c r="C22" s="111" t="str">
        <f>'2DEMOGRAPHICS'!C22</f>
        <v>aaaaa11111aaaaa</v>
      </c>
      <c r="D22" s="112">
        <f>'2DEMOGRAPHICS'!D22</f>
        <v>44348</v>
      </c>
      <c r="E22" s="113">
        <f>'2DEMOGRAPHICS'!E22</f>
        <v>44351</v>
      </c>
      <c r="F22" s="138" t="s">
        <v>104</v>
      </c>
      <c r="G22" s="158">
        <f t="shared" si="3"/>
        <v>44381</v>
      </c>
      <c r="H22" s="129" t="s">
        <v>104</v>
      </c>
      <c r="I22" s="149" t="s">
        <v>104</v>
      </c>
      <c r="J22" s="131" t="s">
        <v>104</v>
      </c>
      <c r="K22" s="150" t="s">
        <v>22</v>
      </c>
      <c r="L22" s="156">
        <f t="shared" si="4"/>
        <v>44411</v>
      </c>
      <c r="M22" s="146" t="s">
        <v>104</v>
      </c>
      <c r="N22" s="147" t="s">
        <v>104</v>
      </c>
      <c r="O22" s="154" t="s">
        <v>104</v>
      </c>
      <c r="P22" s="148" t="s">
        <v>22</v>
      </c>
      <c r="Q22" s="138" t="s">
        <v>104</v>
      </c>
      <c r="R22" s="159">
        <f t="shared" si="5"/>
        <v>44441</v>
      </c>
      <c r="S22" s="143" t="s">
        <v>104</v>
      </c>
      <c r="T22" s="144" t="s">
        <v>104</v>
      </c>
      <c r="U22" s="153" t="s">
        <v>104</v>
      </c>
      <c r="V22" s="145" t="s">
        <v>22</v>
      </c>
      <c r="W22" s="138" t="s">
        <v>104</v>
      </c>
      <c r="X22" s="160">
        <f t="shared" si="6"/>
        <v>44534</v>
      </c>
      <c r="Y22" s="139" t="s">
        <v>104</v>
      </c>
      <c r="Z22" s="140" t="s">
        <v>104</v>
      </c>
      <c r="AA22" s="152" t="s">
        <v>104</v>
      </c>
      <c r="AB22" s="141" t="s">
        <v>22</v>
      </c>
      <c r="AC22" s="161">
        <f t="shared" si="0"/>
        <v>44716</v>
      </c>
      <c r="AD22" s="129" t="s">
        <v>104</v>
      </c>
      <c r="AE22" s="130" t="s">
        <v>104</v>
      </c>
      <c r="AF22" s="131" t="s">
        <v>104</v>
      </c>
      <c r="AG22" s="132" t="s">
        <v>22</v>
      </c>
      <c r="AH22" s="133">
        <v>44803</v>
      </c>
      <c r="AI22" s="134" t="s">
        <v>104</v>
      </c>
      <c r="AJ22" s="135" t="s">
        <v>104</v>
      </c>
      <c r="AK22" s="136" t="s">
        <v>104</v>
      </c>
      <c r="AL22" s="137" t="s">
        <v>22</v>
      </c>
      <c r="AM22" s="120">
        <f t="shared" si="1"/>
        <v>452</v>
      </c>
      <c r="AN22" s="138" t="s">
        <v>104</v>
      </c>
    </row>
    <row r="23" spans="1:40" ht="39.950000000000003" customHeight="1" x14ac:dyDescent="0.25">
      <c r="A23" s="151">
        <f t="shared" si="2"/>
        <v>11</v>
      </c>
      <c r="B23" s="110">
        <f>'2DEMOGRAPHICS'!B23</f>
        <v>11</v>
      </c>
      <c r="C23" s="111" t="str">
        <f>'2DEMOGRAPHICS'!C23</f>
        <v>aaaaa11111aaaaa</v>
      </c>
      <c r="D23" s="112">
        <f>'2DEMOGRAPHICS'!D23</f>
        <v>44378</v>
      </c>
      <c r="E23" s="113">
        <f>'2DEMOGRAPHICS'!E23</f>
        <v>44379</v>
      </c>
      <c r="F23" s="138" t="s">
        <v>100</v>
      </c>
      <c r="G23" s="158">
        <f t="shared" si="3"/>
        <v>44409</v>
      </c>
      <c r="H23" s="129" t="s">
        <v>100</v>
      </c>
      <c r="I23" s="149" t="s">
        <v>100</v>
      </c>
      <c r="J23" s="131" t="s">
        <v>100</v>
      </c>
      <c r="K23" s="150" t="s">
        <v>22</v>
      </c>
      <c r="L23" s="156">
        <f t="shared" si="4"/>
        <v>44439</v>
      </c>
      <c r="M23" s="146" t="s">
        <v>100</v>
      </c>
      <c r="N23" s="147" t="s">
        <v>100</v>
      </c>
      <c r="O23" s="154" t="s">
        <v>100</v>
      </c>
      <c r="P23" s="148" t="s">
        <v>22</v>
      </c>
      <c r="Q23" s="138" t="s">
        <v>100</v>
      </c>
      <c r="R23" s="159">
        <f t="shared" si="5"/>
        <v>44469</v>
      </c>
      <c r="S23" s="143" t="s">
        <v>100</v>
      </c>
      <c r="T23" s="144" t="s">
        <v>100</v>
      </c>
      <c r="U23" s="153" t="s">
        <v>100</v>
      </c>
      <c r="V23" s="145" t="s">
        <v>22</v>
      </c>
      <c r="W23" s="138" t="s">
        <v>100</v>
      </c>
      <c r="X23" s="160">
        <f t="shared" si="6"/>
        <v>44562</v>
      </c>
      <c r="Y23" s="139" t="s">
        <v>100</v>
      </c>
      <c r="Z23" s="140" t="s">
        <v>100</v>
      </c>
      <c r="AA23" s="152" t="s">
        <v>100</v>
      </c>
      <c r="AB23" s="141" t="s">
        <v>22</v>
      </c>
      <c r="AC23" s="161">
        <f t="shared" si="0"/>
        <v>44744</v>
      </c>
      <c r="AD23" s="129" t="s">
        <v>100</v>
      </c>
      <c r="AE23" s="130" t="s">
        <v>100</v>
      </c>
      <c r="AF23" s="131" t="s">
        <v>100</v>
      </c>
      <c r="AG23" s="132" t="s">
        <v>22</v>
      </c>
      <c r="AH23" s="133">
        <v>44803</v>
      </c>
      <c r="AI23" s="134" t="s">
        <v>100</v>
      </c>
      <c r="AJ23" s="135" t="s">
        <v>100</v>
      </c>
      <c r="AK23" s="136" t="s">
        <v>100</v>
      </c>
      <c r="AL23" s="137" t="s">
        <v>22</v>
      </c>
      <c r="AM23" s="120">
        <f t="shared" si="1"/>
        <v>424</v>
      </c>
      <c r="AN23" s="138" t="s">
        <v>100</v>
      </c>
    </row>
    <row r="24" spans="1:40" ht="39.950000000000003" customHeight="1" x14ac:dyDescent="0.25">
      <c r="A24" s="151">
        <f t="shared" ref="A24:A62" si="7">ROW(A12)</f>
        <v>12</v>
      </c>
      <c r="B24" s="110">
        <f>'2DEMOGRAPHICS'!B24</f>
        <v>12</v>
      </c>
      <c r="C24" s="111" t="str">
        <f>'2DEMOGRAPHICS'!C24</f>
        <v>aaaaa11111aaaaa</v>
      </c>
      <c r="D24" s="112">
        <f>'2DEMOGRAPHICS'!D24</f>
        <v>44409</v>
      </c>
      <c r="E24" s="113">
        <f>'2DEMOGRAPHICS'!E24</f>
        <v>44412</v>
      </c>
      <c r="F24" s="138" t="s">
        <v>104</v>
      </c>
      <c r="G24" s="158">
        <f t="shared" si="3"/>
        <v>44442</v>
      </c>
      <c r="H24" s="129" t="s">
        <v>104</v>
      </c>
      <c r="I24" s="149" t="s">
        <v>104</v>
      </c>
      <c r="J24" s="131" t="s">
        <v>104</v>
      </c>
      <c r="K24" s="150" t="s">
        <v>22</v>
      </c>
      <c r="L24" s="156">
        <f t="shared" si="4"/>
        <v>44472</v>
      </c>
      <c r="M24" s="146" t="s">
        <v>104</v>
      </c>
      <c r="N24" s="147" t="s">
        <v>104</v>
      </c>
      <c r="O24" s="154" t="s">
        <v>104</v>
      </c>
      <c r="P24" s="148" t="s">
        <v>22</v>
      </c>
      <c r="Q24" s="138" t="s">
        <v>104</v>
      </c>
      <c r="R24" s="159">
        <f t="shared" si="5"/>
        <v>44502</v>
      </c>
      <c r="S24" s="143" t="s">
        <v>104</v>
      </c>
      <c r="T24" s="144" t="s">
        <v>104</v>
      </c>
      <c r="U24" s="153" t="s">
        <v>104</v>
      </c>
      <c r="V24" s="145" t="s">
        <v>22</v>
      </c>
      <c r="W24" s="138" t="s">
        <v>104</v>
      </c>
      <c r="X24" s="160">
        <f t="shared" si="6"/>
        <v>44595</v>
      </c>
      <c r="Y24" s="139" t="s">
        <v>104</v>
      </c>
      <c r="Z24" s="140" t="s">
        <v>104</v>
      </c>
      <c r="AA24" s="152" t="s">
        <v>104</v>
      </c>
      <c r="AB24" s="141" t="s">
        <v>22</v>
      </c>
      <c r="AC24" s="161">
        <f t="shared" si="0"/>
        <v>44777</v>
      </c>
      <c r="AD24" s="129" t="s">
        <v>104</v>
      </c>
      <c r="AE24" s="130" t="s">
        <v>104</v>
      </c>
      <c r="AF24" s="131" t="s">
        <v>104</v>
      </c>
      <c r="AG24" s="132" t="s">
        <v>22</v>
      </c>
      <c r="AH24" s="133">
        <v>44803</v>
      </c>
      <c r="AI24" s="134" t="s">
        <v>104</v>
      </c>
      <c r="AJ24" s="135" t="s">
        <v>104</v>
      </c>
      <c r="AK24" s="136" t="s">
        <v>104</v>
      </c>
      <c r="AL24" s="137" t="s">
        <v>22</v>
      </c>
      <c r="AM24" s="120">
        <f t="shared" si="1"/>
        <v>391</v>
      </c>
      <c r="AN24" s="138" t="s">
        <v>104</v>
      </c>
    </row>
    <row r="25" spans="1:40" ht="39.950000000000003" customHeight="1" x14ac:dyDescent="0.25">
      <c r="A25" s="151">
        <f t="shared" si="7"/>
        <v>13</v>
      </c>
      <c r="B25" s="110">
        <f>'2DEMOGRAPHICS'!B25</f>
        <v>13</v>
      </c>
      <c r="C25" s="111" t="str">
        <f>'2DEMOGRAPHICS'!C25</f>
        <v>aaaaa11111aaaaa</v>
      </c>
      <c r="D25" s="112">
        <f>'2DEMOGRAPHICS'!D25</f>
        <v>44075</v>
      </c>
      <c r="E25" s="113">
        <f>'2DEMOGRAPHICS'!E25</f>
        <v>44077</v>
      </c>
      <c r="F25" s="138" t="s">
        <v>100</v>
      </c>
      <c r="G25" s="158">
        <f t="shared" si="3"/>
        <v>44107</v>
      </c>
      <c r="H25" s="129" t="s">
        <v>100</v>
      </c>
      <c r="I25" s="149" t="s">
        <v>100</v>
      </c>
      <c r="J25" s="131" t="s">
        <v>100</v>
      </c>
      <c r="K25" s="150" t="s">
        <v>22</v>
      </c>
      <c r="L25" s="156">
        <f t="shared" si="4"/>
        <v>44137</v>
      </c>
      <c r="M25" s="146" t="s">
        <v>100</v>
      </c>
      <c r="N25" s="147" t="s">
        <v>100</v>
      </c>
      <c r="O25" s="154" t="s">
        <v>100</v>
      </c>
      <c r="P25" s="148" t="s">
        <v>22</v>
      </c>
      <c r="Q25" s="138" t="s">
        <v>100</v>
      </c>
      <c r="R25" s="159">
        <f t="shared" si="5"/>
        <v>44167</v>
      </c>
      <c r="S25" s="143" t="s">
        <v>100</v>
      </c>
      <c r="T25" s="144" t="s">
        <v>100</v>
      </c>
      <c r="U25" s="153" t="s">
        <v>100</v>
      </c>
      <c r="V25" s="145" t="s">
        <v>22</v>
      </c>
      <c r="W25" s="138" t="s">
        <v>100</v>
      </c>
      <c r="X25" s="160">
        <f t="shared" si="6"/>
        <v>44260</v>
      </c>
      <c r="Y25" s="139" t="s">
        <v>100</v>
      </c>
      <c r="Z25" s="140" t="s">
        <v>100</v>
      </c>
      <c r="AA25" s="152" t="s">
        <v>100</v>
      </c>
      <c r="AB25" s="141" t="s">
        <v>22</v>
      </c>
      <c r="AC25" s="161">
        <f t="shared" si="0"/>
        <v>44442</v>
      </c>
      <c r="AD25" s="129" t="s">
        <v>100</v>
      </c>
      <c r="AE25" s="130" t="s">
        <v>100</v>
      </c>
      <c r="AF25" s="131" t="s">
        <v>100</v>
      </c>
      <c r="AG25" s="132" t="s">
        <v>22</v>
      </c>
      <c r="AH25" s="133">
        <v>44803</v>
      </c>
      <c r="AI25" s="134" t="s">
        <v>100</v>
      </c>
      <c r="AJ25" s="135" t="s">
        <v>100</v>
      </c>
      <c r="AK25" s="136" t="s">
        <v>100</v>
      </c>
      <c r="AL25" s="137" t="s">
        <v>22</v>
      </c>
      <c r="AM25" s="120">
        <f t="shared" si="1"/>
        <v>726</v>
      </c>
      <c r="AN25" s="138" t="s">
        <v>100</v>
      </c>
    </row>
    <row r="26" spans="1:40" ht="39.950000000000003" customHeight="1" x14ac:dyDescent="0.25">
      <c r="A26" s="151">
        <f t="shared" si="7"/>
        <v>14</v>
      </c>
      <c r="B26" s="110">
        <f>'2DEMOGRAPHICS'!B26</f>
        <v>14</v>
      </c>
      <c r="C26" s="111" t="str">
        <f>'2DEMOGRAPHICS'!C26</f>
        <v>aaaaa11111aaaaa</v>
      </c>
      <c r="D26" s="112">
        <f>'2DEMOGRAPHICS'!D26</f>
        <v>44105</v>
      </c>
      <c r="E26" s="113">
        <f>'2DEMOGRAPHICS'!E26</f>
        <v>44077</v>
      </c>
      <c r="F26" s="138" t="s">
        <v>104</v>
      </c>
      <c r="G26" s="158">
        <f t="shared" si="3"/>
        <v>44107</v>
      </c>
      <c r="H26" s="129" t="s">
        <v>104</v>
      </c>
      <c r="I26" s="149" t="s">
        <v>104</v>
      </c>
      <c r="J26" s="131" t="s">
        <v>104</v>
      </c>
      <c r="K26" s="150" t="s">
        <v>22</v>
      </c>
      <c r="L26" s="156">
        <f t="shared" si="4"/>
        <v>44137</v>
      </c>
      <c r="M26" s="146" t="s">
        <v>104</v>
      </c>
      <c r="N26" s="147" t="s">
        <v>104</v>
      </c>
      <c r="O26" s="154" t="s">
        <v>104</v>
      </c>
      <c r="P26" s="148" t="s">
        <v>22</v>
      </c>
      <c r="Q26" s="138" t="s">
        <v>104</v>
      </c>
      <c r="R26" s="159">
        <f t="shared" si="5"/>
        <v>44167</v>
      </c>
      <c r="S26" s="143" t="s">
        <v>104</v>
      </c>
      <c r="T26" s="144" t="s">
        <v>104</v>
      </c>
      <c r="U26" s="153" t="s">
        <v>104</v>
      </c>
      <c r="V26" s="145" t="s">
        <v>22</v>
      </c>
      <c r="W26" s="138" t="s">
        <v>104</v>
      </c>
      <c r="X26" s="160">
        <f t="shared" si="6"/>
        <v>44260</v>
      </c>
      <c r="Y26" s="139" t="s">
        <v>104</v>
      </c>
      <c r="Z26" s="140" t="s">
        <v>104</v>
      </c>
      <c r="AA26" s="152" t="s">
        <v>104</v>
      </c>
      <c r="AB26" s="141" t="s">
        <v>22</v>
      </c>
      <c r="AC26" s="161">
        <f t="shared" si="0"/>
        <v>44442</v>
      </c>
      <c r="AD26" s="129" t="s">
        <v>104</v>
      </c>
      <c r="AE26" s="130" t="s">
        <v>104</v>
      </c>
      <c r="AF26" s="131" t="s">
        <v>104</v>
      </c>
      <c r="AG26" s="132" t="s">
        <v>22</v>
      </c>
      <c r="AH26" s="133">
        <v>44803</v>
      </c>
      <c r="AI26" s="134" t="s">
        <v>104</v>
      </c>
      <c r="AJ26" s="135" t="s">
        <v>104</v>
      </c>
      <c r="AK26" s="136" t="s">
        <v>104</v>
      </c>
      <c r="AL26" s="137" t="s">
        <v>22</v>
      </c>
      <c r="AM26" s="120">
        <f t="shared" si="1"/>
        <v>726</v>
      </c>
      <c r="AN26" s="138" t="s">
        <v>104</v>
      </c>
    </row>
    <row r="27" spans="1:40" ht="39.950000000000003" customHeight="1" x14ac:dyDescent="0.25">
      <c r="A27" s="151">
        <f t="shared" si="7"/>
        <v>15</v>
      </c>
      <c r="B27" s="110">
        <f>'2DEMOGRAPHICS'!B27</f>
        <v>15</v>
      </c>
      <c r="C27" s="111" t="str">
        <f>'2DEMOGRAPHICS'!C27</f>
        <v>aaaaa11111aaaaa</v>
      </c>
      <c r="D27" s="112">
        <f>'2DEMOGRAPHICS'!D27</f>
        <v>44136</v>
      </c>
      <c r="E27" s="113">
        <f>'2DEMOGRAPHICS'!E27</f>
        <v>44137</v>
      </c>
      <c r="F27" s="138" t="s">
        <v>100</v>
      </c>
      <c r="G27" s="158">
        <f t="shared" si="3"/>
        <v>44167</v>
      </c>
      <c r="H27" s="129" t="s">
        <v>100</v>
      </c>
      <c r="I27" s="149" t="s">
        <v>100</v>
      </c>
      <c r="J27" s="131" t="s">
        <v>100</v>
      </c>
      <c r="K27" s="150" t="s">
        <v>22</v>
      </c>
      <c r="L27" s="156">
        <f t="shared" si="4"/>
        <v>44197</v>
      </c>
      <c r="M27" s="146" t="s">
        <v>100</v>
      </c>
      <c r="N27" s="147" t="s">
        <v>100</v>
      </c>
      <c r="O27" s="154" t="s">
        <v>100</v>
      </c>
      <c r="P27" s="148" t="s">
        <v>22</v>
      </c>
      <c r="Q27" s="138" t="s">
        <v>100</v>
      </c>
      <c r="R27" s="159">
        <f t="shared" si="5"/>
        <v>44227</v>
      </c>
      <c r="S27" s="143" t="s">
        <v>100</v>
      </c>
      <c r="T27" s="144" t="s">
        <v>100</v>
      </c>
      <c r="U27" s="153" t="s">
        <v>100</v>
      </c>
      <c r="V27" s="145" t="s">
        <v>22</v>
      </c>
      <c r="W27" s="138" t="s">
        <v>100</v>
      </c>
      <c r="X27" s="160">
        <f t="shared" si="6"/>
        <v>44320</v>
      </c>
      <c r="Y27" s="139" t="s">
        <v>100</v>
      </c>
      <c r="Z27" s="140" t="s">
        <v>100</v>
      </c>
      <c r="AA27" s="152" t="s">
        <v>100</v>
      </c>
      <c r="AB27" s="141" t="s">
        <v>22</v>
      </c>
      <c r="AC27" s="161">
        <f t="shared" si="0"/>
        <v>44502</v>
      </c>
      <c r="AD27" s="129" t="s">
        <v>100</v>
      </c>
      <c r="AE27" s="130" t="s">
        <v>100</v>
      </c>
      <c r="AF27" s="131" t="s">
        <v>100</v>
      </c>
      <c r="AG27" s="132" t="s">
        <v>22</v>
      </c>
      <c r="AH27" s="133">
        <v>44803</v>
      </c>
      <c r="AI27" s="134" t="s">
        <v>100</v>
      </c>
      <c r="AJ27" s="135" t="s">
        <v>100</v>
      </c>
      <c r="AK27" s="136" t="s">
        <v>100</v>
      </c>
      <c r="AL27" s="137" t="s">
        <v>22</v>
      </c>
      <c r="AM27" s="120">
        <f t="shared" si="1"/>
        <v>666</v>
      </c>
      <c r="AN27" s="138" t="s">
        <v>100</v>
      </c>
    </row>
    <row r="28" spans="1:40" ht="39.950000000000003" customHeight="1" x14ac:dyDescent="0.25">
      <c r="A28" s="151">
        <f t="shared" si="7"/>
        <v>16</v>
      </c>
      <c r="B28" s="110">
        <f>'2DEMOGRAPHICS'!B28</f>
        <v>16</v>
      </c>
      <c r="C28" s="111" t="str">
        <f>'2DEMOGRAPHICS'!C28</f>
        <v>aaaaa11111aaaaa</v>
      </c>
      <c r="D28" s="112">
        <f>'2DEMOGRAPHICS'!D28</f>
        <v>44166</v>
      </c>
      <c r="E28" s="113">
        <f>'2DEMOGRAPHICS'!E28</f>
        <v>44170</v>
      </c>
      <c r="F28" s="138" t="s">
        <v>104</v>
      </c>
      <c r="G28" s="158">
        <f t="shared" si="3"/>
        <v>44200</v>
      </c>
      <c r="H28" s="129" t="s">
        <v>104</v>
      </c>
      <c r="I28" s="149" t="s">
        <v>104</v>
      </c>
      <c r="J28" s="131" t="s">
        <v>104</v>
      </c>
      <c r="K28" s="150" t="s">
        <v>22</v>
      </c>
      <c r="L28" s="156">
        <f t="shared" si="4"/>
        <v>44230</v>
      </c>
      <c r="M28" s="146" t="s">
        <v>104</v>
      </c>
      <c r="N28" s="147" t="s">
        <v>104</v>
      </c>
      <c r="O28" s="154" t="s">
        <v>104</v>
      </c>
      <c r="P28" s="148" t="s">
        <v>22</v>
      </c>
      <c r="Q28" s="138" t="s">
        <v>104</v>
      </c>
      <c r="R28" s="159">
        <f t="shared" si="5"/>
        <v>44260</v>
      </c>
      <c r="S28" s="143" t="s">
        <v>104</v>
      </c>
      <c r="T28" s="144" t="s">
        <v>104</v>
      </c>
      <c r="U28" s="153" t="s">
        <v>104</v>
      </c>
      <c r="V28" s="145" t="s">
        <v>22</v>
      </c>
      <c r="W28" s="138" t="s">
        <v>104</v>
      </c>
      <c r="X28" s="160">
        <f t="shared" si="6"/>
        <v>44353</v>
      </c>
      <c r="Y28" s="139" t="s">
        <v>104</v>
      </c>
      <c r="Z28" s="140" t="s">
        <v>104</v>
      </c>
      <c r="AA28" s="152" t="s">
        <v>104</v>
      </c>
      <c r="AB28" s="141" t="s">
        <v>22</v>
      </c>
      <c r="AC28" s="161">
        <f t="shared" si="0"/>
        <v>44535</v>
      </c>
      <c r="AD28" s="129" t="s">
        <v>104</v>
      </c>
      <c r="AE28" s="130" t="s">
        <v>104</v>
      </c>
      <c r="AF28" s="131" t="s">
        <v>104</v>
      </c>
      <c r="AG28" s="132" t="s">
        <v>22</v>
      </c>
      <c r="AH28" s="133">
        <v>44803</v>
      </c>
      <c r="AI28" s="134" t="s">
        <v>104</v>
      </c>
      <c r="AJ28" s="135" t="s">
        <v>104</v>
      </c>
      <c r="AK28" s="136" t="s">
        <v>104</v>
      </c>
      <c r="AL28" s="137" t="s">
        <v>22</v>
      </c>
      <c r="AM28" s="120">
        <f t="shared" si="1"/>
        <v>633</v>
      </c>
      <c r="AN28" s="138" t="s">
        <v>104</v>
      </c>
    </row>
    <row r="29" spans="1:40" ht="39.950000000000003" customHeight="1" x14ac:dyDescent="0.25">
      <c r="A29" s="151">
        <f t="shared" si="7"/>
        <v>17</v>
      </c>
      <c r="B29" s="110">
        <f>'2DEMOGRAPHICS'!B29</f>
        <v>17</v>
      </c>
      <c r="C29" s="111" t="str">
        <f>'2DEMOGRAPHICS'!C29</f>
        <v>aaaaa11111aaaaa</v>
      </c>
      <c r="D29" s="112">
        <f>'2DEMOGRAPHICS'!D29</f>
        <v>44197</v>
      </c>
      <c r="E29" s="113">
        <f>'2DEMOGRAPHICS'!E29</f>
        <v>44201</v>
      </c>
      <c r="F29" s="138" t="s">
        <v>100</v>
      </c>
      <c r="G29" s="158">
        <f t="shared" si="3"/>
        <v>44231</v>
      </c>
      <c r="H29" s="129" t="s">
        <v>100</v>
      </c>
      <c r="I29" s="149" t="s">
        <v>100</v>
      </c>
      <c r="J29" s="131" t="s">
        <v>100</v>
      </c>
      <c r="K29" s="150" t="s">
        <v>22</v>
      </c>
      <c r="L29" s="156">
        <f t="shared" si="4"/>
        <v>44261</v>
      </c>
      <c r="M29" s="146" t="s">
        <v>100</v>
      </c>
      <c r="N29" s="147" t="s">
        <v>100</v>
      </c>
      <c r="O29" s="154" t="s">
        <v>100</v>
      </c>
      <c r="P29" s="148" t="s">
        <v>22</v>
      </c>
      <c r="Q29" s="138" t="s">
        <v>100</v>
      </c>
      <c r="R29" s="159">
        <f t="shared" si="5"/>
        <v>44291</v>
      </c>
      <c r="S29" s="143" t="s">
        <v>100</v>
      </c>
      <c r="T29" s="144" t="s">
        <v>100</v>
      </c>
      <c r="U29" s="153" t="s">
        <v>100</v>
      </c>
      <c r="V29" s="145" t="s">
        <v>22</v>
      </c>
      <c r="W29" s="138" t="s">
        <v>100</v>
      </c>
      <c r="X29" s="160">
        <f t="shared" si="6"/>
        <v>44384</v>
      </c>
      <c r="Y29" s="139" t="s">
        <v>100</v>
      </c>
      <c r="Z29" s="140" t="s">
        <v>100</v>
      </c>
      <c r="AA29" s="152" t="s">
        <v>100</v>
      </c>
      <c r="AB29" s="141" t="s">
        <v>22</v>
      </c>
      <c r="AC29" s="161">
        <f t="shared" si="0"/>
        <v>44566</v>
      </c>
      <c r="AD29" s="129" t="s">
        <v>100</v>
      </c>
      <c r="AE29" s="130" t="s">
        <v>100</v>
      </c>
      <c r="AF29" s="131" t="s">
        <v>100</v>
      </c>
      <c r="AG29" s="132" t="s">
        <v>22</v>
      </c>
      <c r="AH29" s="133">
        <v>44803</v>
      </c>
      <c r="AI29" s="134" t="s">
        <v>100</v>
      </c>
      <c r="AJ29" s="135" t="s">
        <v>100</v>
      </c>
      <c r="AK29" s="136" t="s">
        <v>100</v>
      </c>
      <c r="AL29" s="137" t="s">
        <v>22</v>
      </c>
      <c r="AM29" s="120">
        <f t="shared" si="1"/>
        <v>602</v>
      </c>
      <c r="AN29" s="138" t="s">
        <v>100</v>
      </c>
    </row>
    <row r="30" spans="1:40" ht="39.950000000000003" customHeight="1" x14ac:dyDescent="0.25">
      <c r="A30" s="151">
        <f t="shared" si="7"/>
        <v>18</v>
      </c>
      <c r="B30" s="110">
        <f>'2DEMOGRAPHICS'!B30</f>
        <v>18</v>
      </c>
      <c r="C30" s="111" t="str">
        <f>'2DEMOGRAPHICS'!C30</f>
        <v>aaaaa11111aaaaa</v>
      </c>
      <c r="D30" s="112">
        <f>'2DEMOGRAPHICS'!D30</f>
        <v>44228</v>
      </c>
      <c r="E30" s="113">
        <f>'2DEMOGRAPHICS'!E30</f>
        <v>44230</v>
      </c>
      <c r="F30" s="138" t="s">
        <v>104</v>
      </c>
      <c r="G30" s="158">
        <f t="shared" si="3"/>
        <v>44260</v>
      </c>
      <c r="H30" s="129" t="s">
        <v>104</v>
      </c>
      <c r="I30" s="149" t="s">
        <v>104</v>
      </c>
      <c r="J30" s="131" t="s">
        <v>104</v>
      </c>
      <c r="K30" s="150" t="s">
        <v>22</v>
      </c>
      <c r="L30" s="156">
        <f t="shared" si="4"/>
        <v>44290</v>
      </c>
      <c r="M30" s="146" t="s">
        <v>104</v>
      </c>
      <c r="N30" s="147" t="s">
        <v>104</v>
      </c>
      <c r="O30" s="154" t="s">
        <v>104</v>
      </c>
      <c r="P30" s="148" t="s">
        <v>22</v>
      </c>
      <c r="Q30" s="138" t="s">
        <v>104</v>
      </c>
      <c r="R30" s="159">
        <f t="shared" si="5"/>
        <v>44320</v>
      </c>
      <c r="S30" s="143" t="s">
        <v>104</v>
      </c>
      <c r="T30" s="144" t="s">
        <v>104</v>
      </c>
      <c r="U30" s="153" t="s">
        <v>104</v>
      </c>
      <c r="V30" s="145" t="s">
        <v>22</v>
      </c>
      <c r="W30" s="138" t="s">
        <v>104</v>
      </c>
      <c r="X30" s="160">
        <f t="shared" si="6"/>
        <v>44413</v>
      </c>
      <c r="Y30" s="139" t="s">
        <v>104</v>
      </c>
      <c r="Z30" s="140" t="s">
        <v>104</v>
      </c>
      <c r="AA30" s="152" t="s">
        <v>104</v>
      </c>
      <c r="AB30" s="141" t="s">
        <v>22</v>
      </c>
      <c r="AC30" s="161">
        <f t="shared" si="0"/>
        <v>44595</v>
      </c>
      <c r="AD30" s="129" t="s">
        <v>104</v>
      </c>
      <c r="AE30" s="130" t="s">
        <v>104</v>
      </c>
      <c r="AF30" s="131" t="s">
        <v>104</v>
      </c>
      <c r="AG30" s="132" t="s">
        <v>22</v>
      </c>
      <c r="AH30" s="133">
        <v>44803</v>
      </c>
      <c r="AI30" s="134" t="s">
        <v>104</v>
      </c>
      <c r="AJ30" s="135" t="s">
        <v>104</v>
      </c>
      <c r="AK30" s="136" t="s">
        <v>104</v>
      </c>
      <c r="AL30" s="137" t="s">
        <v>22</v>
      </c>
      <c r="AM30" s="120">
        <f t="shared" si="1"/>
        <v>573</v>
      </c>
      <c r="AN30" s="138" t="s">
        <v>104</v>
      </c>
    </row>
    <row r="31" spans="1:40" ht="39.950000000000003" customHeight="1" x14ac:dyDescent="0.25">
      <c r="A31" s="151">
        <f t="shared" si="7"/>
        <v>19</v>
      </c>
      <c r="B31" s="110">
        <f>'2DEMOGRAPHICS'!B31</f>
        <v>19</v>
      </c>
      <c r="C31" s="111" t="str">
        <f>'2DEMOGRAPHICS'!C31</f>
        <v>aaaaa11111aaaaa</v>
      </c>
      <c r="D31" s="112">
        <f>'2DEMOGRAPHICS'!D31</f>
        <v>44256</v>
      </c>
      <c r="E31" s="113">
        <f>'2DEMOGRAPHICS'!E31</f>
        <v>44259</v>
      </c>
      <c r="F31" s="138" t="s">
        <v>100</v>
      </c>
      <c r="G31" s="158">
        <f t="shared" si="3"/>
        <v>44289</v>
      </c>
      <c r="H31" s="129" t="s">
        <v>100</v>
      </c>
      <c r="I31" s="149" t="s">
        <v>100</v>
      </c>
      <c r="J31" s="131" t="s">
        <v>100</v>
      </c>
      <c r="K31" s="150" t="s">
        <v>22</v>
      </c>
      <c r="L31" s="156">
        <f t="shared" si="4"/>
        <v>44319</v>
      </c>
      <c r="M31" s="146" t="s">
        <v>100</v>
      </c>
      <c r="N31" s="147" t="s">
        <v>100</v>
      </c>
      <c r="O31" s="154" t="s">
        <v>100</v>
      </c>
      <c r="P31" s="148" t="s">
        <v>22</v>
      </c>
      <c r="Q31" s="138" t="s">
        <v>100</v>
      </c>
      <c r="R31" s="159">
        <f t="shared" si="5"/>
        <v>44349</v>
      </c>
      <c r="S31" s="143" t="s">
        <v>100</v>
      </c>
      <c r="T31" s="144" t="s">
        <v>100</v>
      </c>
      <c r="U31" s="153" t="s">
        <v>100</v>
      </c>
      <c r="V31" s="145" t="s">
        <v>22</v>
      </c>
      <c r="W31" s="138" t="s">
        <v>100</v>
      </c>
      <c r="X31" s="160">
        <f t="shared" si="6"/>
        <v>44442</v>
      </c>
      <c r="Y31" s="139" t="s">
        <v>100</v>
      </c>
      <c r="Z31" s="140" t="s">
        <v>100</v>
      </c>
      <c r="AA31" s="152" t="s">
        <v>100</v>
      </c>
      <c r="AB31" s="141" t="s">
        <v>22</v>
      </c>
      <c r="AC31" s="161">
        <f t="shared" si="0"/>
        <v>44624</v>
      </c>
      <c r="AD31" s="129" t="s">
        <v>100</v>
      </c>
      <c r="AE31" s="130" t="s">
        <v>100</v>
      </c>
      <c r="AF31" s="131" t="s">
        <v>100</v>
      </c>
      <c r="AG31" s="132" t="s">
        <v>22</v>
      </c>
      <c r="AH31" s="133">
        <v>44803</v>
      </c>
      <c r="AI31" s="134" t="s">
        <v>100</v>
      </c>
      <c r="AJ31" s="135" t="s">
        <v>100</v>
      </c>
      <c r="AK31" s="136" t="s">
        <v>100</v>
      </c>
      <c r="AL31" s="137" t="s">
        <v>22</v>
      </c>
      <c r="AM31" s="120">
        <f t="shared" si="1"/>
        <v>544</v>
      </c>
      <c r="AN31" s="138" t="s">
        <v>100</v>
      </c>
    </row>
    <row r="32" spans="1:40" ht="39.950000000000003" customHeight="1" x14ac:dyDescent="0.25">
      <c r="A32" s="151">
        <f t="shared" si="7"/>
        <v>20</v>
      </c>
      <c r="B32" s="110">
        <f>'2DEMOGRAPHICS'!B32</f>
        <v>20</v>
      </c>
      <c r="C32" s="111" t="str">
        <f>'2DEMOGRAPHICS'!C32</f>
        <v>aaaaa11111aaaaa</v>
      </c>
      <c r="D32" s="112">
        <f>'2DEMOGRAPHICS'!D32</f>
        <v>44287</v>
      </c>
      <c r="E32" s="113">
        <f>'2DEMOGRAPHICS'!E32</f>
        <v>44291</v>
      </c>
      <c r="F32" s="138" t="s">
        <v>104</v>
      </c>
      <c r="G32" s="158">
        <f t="shared" si="3"/>
        <v>44321</v>
      </c>
      <c r="H32" s="129" t="s">
        <v>104</v>
      </c>
      <c r="I32" s="149" t="s">
        <v>104</v>
      </c>
      <c r="J32" s="131" t="s">
        <v>104</v>
      </c>
      <c r="K32" s="150" t="s">
        <v>22</v>
      </c>
      <c r="L32" s="156">
        <f t="shared" si="4"/>
        <v>44351</v>
      </c>
      <c r="M32" s="146" t="s">
        <v>104</v>
      </c>
      <c r="N32" s="147" t="s">
        <v>104</v>
      </c>
      <c r="O32" s="154" t="s">
        <v>104</v>
      </c>
      <c r="P32" s="148" t="s">
        <v>22</v>
      </c>
      <c r="Q32" s="138" t="s">
        <v>104</v>
      </c>
      <c r="R32" s="159">
        <f t="shared" si="5"/>
        <v>44381</v>
      </c>
      <c r="S32" s="143" t="s">
        <v>104</v>
      </c>
      <c r="T32" s="144" t="s">
        <v>104</v>
      </c>
      <c r="U32" s="153" t="s">
        <v>104</v>
      </c>
      <c r="V32" s="145" t="s">
        <v>22</v>
      </c>
      <c r="W32" s="138" t="s">
        <v>104</v>
      </c>
      <c r="X32" s="160">
        <f t="shared" si="6"/>
        <v>44474</v>
      </c>
      <c r="Y32" s="139" t="s">
        <v>104</v>
      </c>
      <c r="Z32" s="140" t="s">
        <v>104</v>
      </c>
      <c r="AA32" s="152" t="s">
        <v>104</v>
      </c>
      <c r="AB32" s="141" t="s">
        <v>22</v>
      </c>
      <c r="AC32" s="161">
        <f t="shared" si="0"/>
        <v>44656</v>
      </c>
      <c r="AD32" s="129" t="s">
        <v>104</v>
      </c>
      <c r="AE32" s="130" t="s">
        <v>104</v>
      </c>
      <c r="AF32" s="131" t="s">
        <v>104</v>
      </c>
      <c r="AG32" s="132" t="s">
        <v>22</v>
      </c>
      <c r="AH32" s="133">
        <v>44803</v>
      </c>
      <c r="AI32" s="134" t="s">
        <v>104</v>
      </c>
      <c r="AJ32" s="135" t="s">
        <v>104</v>
      </c>
      <c r="AK32" s="136" t="s">
        <v>104</v>
      </c>
      <c r="AL32" s="137" t="s">
        <v>22</v>
      </c>
      <c r="AM32" s="120">
        <f t="shared" si="1"/>
        <v>512</v>
      </c>
      <c r="AN32" s="138" t="s">
        <v>104</v>
      </c>
    </row>
    <row r="33" spans="1:40" ht="39.950000000000003" customHeight="1" x14ac:dyDescent="0.25">
      <c r="A33" s="151">
        <f t="shared" si="7"/>
        <v>21</v>
      </c>
      <c r="B33" s="110">
        <f>'2DEMOGRAPHICS'!B33</f>
        <v>21</v>
      </c>
      <c r="C33" s="111" t="str">
        <f>'2DEMOGRAPHICS'!C33</f>
        <v>aaaaa11111aaaaa</v>
      </c>
      <c r="D33" s="112">
        <f>'2DEMOGRAPHICS'!D33</f>
        <v>44317</v>
      </c>
      <c r="E33" s="113">
        <f>'2DEMOGRAPHICS'!E33</f>
        <v>44319</v>
      </c>
      <c r="F33" s="138" t="s">
        <v>100</v>
      </c>
      <c r="G33" s="158">
        <f t="shared" si="3"/>
        <v>44349</v>
      </c>
      <c r="H33" s="129" t="s">
        <v>100</v>
      </c>
      <c r="I33" s="149" t="s">
        <v>100</v>
      </c>
      <c r="J33" s="131" t="s">
        <v>100</v>
      </c>
      <c r="K33" s="150" t="s">
        <v>22</v>
      </c>
      <c r="L33" s="156">
        <f t="shared" si="4"/>
        <v>44379</v>
      </c>
      <c r="M33" s="146" t="s">
        <v>100</v>
      </c>
      <c r="N33" s="147" t="s">
        <v>100</v>
      </c>
      <c r="O33" s="154" t="s">
        <v>100</v>
      </c>
      <c r="P33" s="148" t="s">
        <v>22</v>
      </c>
      <c r="Q33" s="138" t="s">
        <v>100</v>
      </c>
      <c r="R33" s="159">
        <f t="shared" si="5"/>
        <v>44409</v>
      </c>
      <c r="S33" s="143" t="s">
        <v>100</v>
      </c>
      <c r="T33" s="144" t="s">
        <v>100</v>
      </c>
      <c r="U33" s="153" t="s">
        <v>100</v>
      </c>
      <c r="V33" s="145" t="s">
        <v>22</v>
      </c>
      <c r="W33" s="138" t="s">
        <v>100</v>
      </c>
      <c r="X33" s="160">
        <f t="shared" si="6"/>
        <v>44502</v>
      </c>
      <c r="Y33" s="139" t="s">
        <v>100</v>
      </c>
      <c r="Z33" s="140" t="s">
        <v>100</v>
      </c>
      <c r="AA33" s="152" t="s">
        <v>100</v>
      </c>
      <c r="AB33" s="141" t="s">
        <v>22</v>
      </c>
      <c r="AC33" s="161">
        <f t="shared" si="0"/>
        <v>44684</v>
      </c>
      <c r="AD33" s="129" t="s">
        <v>100</v>
      </c>
      <c r="AE33" s="130" t="s">
        <v>100</v>
      </c>
      <c r="AF33" s="131" t="s">
        <v>100</v>
      </c>
      <c r="AG33" s="132" t="s">
        <v>22</v>
      </c>
      <c r="AH33" s="133">
        <v>44803</v>
      </c>
      <c r="AI33" s="134" t="s">
        <v>100</v>
      </c>
      <c r="AJ33" s="135" t="s">
        <v>100</v>
      </c>
      <c r="AK33" s="136" t="s">
        <v>100</v>
      </c>
      <c r="AL33" s="137" t="s">
        <v>22</v>
      </c>
      <c r="AM33" s="120">
        <f t="shared" si="1"/>
        <v>484</v>
      </c>
      <c r="AN33" s="138" t="s">
        <v>100</v>
      </c>
    </row>
    <row r="34" spans="1:40" ht="39.950000000000003" customHeight="1" x14ac:dyDescent="0.25">
      <c r="A34" s="151">
        <f t="shared" si="7"/>
        <v>22</v>
      </c>
      <c r="B34" s="110">
        <f>'2DEMOGRAPHICS'!B34</f>
        <v>22</v>
      </c>
      <c r="C34" s="111" t="str">
        <f>'2DEMOGRAPHICS'!C34</f>
        <v>aaaaa11111aaaaa</v>
      </c>
      <c r="D34" s="112">
        <f>'2DEMOGRAPHICS'!D34</f>
        <v>44348</v>
      </c>
      <c r="E34" s="113">
        <f>'2DEMOGRAPHICS'!E34</f>
        <v>44351</v>
      </c>
      <c r="F34" s="138" t="s">
        <v>104</v>
      </c>
      <c r="G34" s="158">
        <f t="shared" si="3"/>
        <v>44381</v>
      </c>
      <c r="H34" s="129" t="s">
        <v>104</v>
      </c>
      <c r="I34" s="149" t="s">
        <v>104</v>
      </c>
      <c r="J34" s="131" t="s">
        <v>104</v>
      </c>
      <c r="K34" s="150" t="s">
        <v>22</v>
      </c>
      <c r="L34" s="156">
        <f t="shared" si="4"/>
        <v>44411</v>
      </c>
      <c r="M34" s="146" t="s">
        <v>104</v>
      </c>
      <c r="N34" s="147" t="s">
        <v>104</v>
      </c>
      <c r="O34" s="154" t="s">
        <v>104</v>
      </c>
      <c r="P34" s="148" t="s">
        <v>22</v>
      </c>
      <c r="Q34" s="138" t="s">
        <v>104</v>
      </c>
      <c r="R34" s="159">
        <f t="shared" si="5"/>
        <v>44441</v>
      </c>
      <c r="S34" s="143" t="s">
        <v>104</v>
      </c>
      <c r="T34" s="144" t="s">
        <v>104</v>
      </c>
      <c r="U34" s="153" t="s">
        <v>104</v>
      </c>
      <c r="V34" s="145" t="s">
        <v>22</v>
      </c>
      <c r="W34" s="138" t="s">
        <v>104</v>
      </c>
      <c r="X34" s="160">
        <f t="shared" si="6"/>
        <v>44534</v>
      </c>
      <c r="Y34" s="139" t="s">
        <v>104</v>
      </c>
      <c r="Z34" s="140" t="s">
        <v>104</v>
      </c>
      <c r="AA34" s="152" t="s">
        <v>104</v>
      </c>
      <c r="AB34" s="141" t="s">
        <v>22</v>
      </c>
      <c r="AC34" s="161">
        <f t="shared" si="0"/>
        <v>44716</v>
      </c>
      <c r="AD34" s="129" t="s">
        <v>104</v>
      </c>
      <c r="AE34" s="130" t="s">
        <v>104</v>
      </c>
      <c r="AF34" s="131" t="s">
        <v>104</v>
      </c>
      <c r="AG34" s="132" t="s">
        <v>22</v>
      </c>
      <c r="AH34" s="133">
        <v>44803</v>
      </c>
      <c r="AI34" s="134" t="s">
        <v>104</v>
      </c>
      <c r="AJ34" s="135" t="s">
        <v>104</v>
      </c>
      <c r="AK34" s="136" t="s">
        <v>104</v>
      </c>
      <c r="AL34" s="137" t="s">
        <v>22</v>
      </c>
      <c r="AM34" s="120">
        <f t="shared" si="1"/>
        <v>452</v>
      </c>
      <c r="AN34" s="138" t="s">
        <v>104</v>
      </c>
    </row>
    <row r="35" spans="1:40" ht="39.950000000000003" customHeight="1" x14ac:dyDescent="0.25">
      <c r="A35" s="151">
        <f t="shared" si="7"/>
        <v>23</v>
      </c>
      <c r="B35" s="110">
        <f>'2DEMOGRAPHICS'!B35</f>
        <v>23</v>
      </c>
      <c r="C35" s="111" t="str">
        <f>'2DEMOGRAPHICS'!C35</f>
        <v>aaaaa11111aaaaa</v>
      </c>
      <c r="D35" s="112">
        <f>'2DEMOGRAPHICS'!D35</f>
        <v>44378</v>
      </c>
      <c r="E35" s="113">
        <f>'2DEMOGRAPHICS'!E35</f>
        <v>44379</v>
      </c>
      <c r="F35" s="138" t="s">
        <v>100</v>
      </c>
      <c r="G35" s="158">
        <f t="shared" si="3"/>
        <v>44409</v>
      </c>
      <c r="H35" s="129" t="s">
        <v>100</v>
      </c>
      <c r="I35" s="149" t="s">
        <v>100</v>
      </c>
      <c r="J35" s="131" t="s">
        <v>100</v>
      </c>
      <c r="K35" s="150" t="s">
        <v>22</v>
      </c>
      <c r="L35" s="156">
        <f t="shared" si="4"/>
        <v>44439</v>
      </c>
      <c r="M35" s="146" t="s">
        <v>100</v>
      </c>
      <c r="N35" s="147" t="s">
        <v>100</v>
      </c>
      <c r="O35" s="154" t="s">
        <v>100</v>
      </c>
      <c r="P35" s="148" t="s">
        <v>22</v>
      </c>
      <c r="Q35" s="138" t="s">
        <v>100</v>
      </c>
      <c r="R35" s="159">
        <f t="shared" si="5"/>
        <v>44469</v>
      </c>
      <c r="S35" s="143" t="s">
        <v>100</v>
      </c>
      <c r="T35" s="144" t="s">
        <v>100</v>
      </c>
      <c r="U35" s="153" t="s">
        <v>100</v>
      </c>
      <c r="V35" s="145" t="s">
        <v>22</v>
      </c>
      <c r="W35" s="138" t="s">
        <v>100</v>
      </c>
      <c r="X35" s="160">
        <f t="shared" si="6"/>
        <v>44562</v>
      </c>
      <c r="Y35" s="139" t="s">
        <v>100</v>
      </c>
      <c r="Z35" s="140" t="s">
        <v>100</v>
      </c>
      <c r="AA35" s="152" t="s">
        <v>100</v>
      </c>
      <c r="AB35" s="141" t="s">
        <v>22</v>
      </c>
      <c r="AC35" s="161">
        <f t="shared" si="0"/>
        <v>44744</v>
      </c>
      <c r="AD35" s="129" t="s">
        <v>100</v>
      </c>
      <c r="AE35" s="130" t="s">
        <v>100</v>
      </c>
      <c r="AF35" s="131" t="s">
        <v>100</v>
      </c>
      <c r="AG35" s="132" t="s">
        <v>22</v>
      </c>
      <c r="AH35" s="133">
        <v>44803</v>
      </c>
      <c r="AI35" s="134" t="s">
        <v>100</v>
      </c>
      <c r="AJ35" s="135" t="s">
        <v>100</v>
      </c>
      <c r="AK35" s="136" t="s">
        <v>100</v>
      </c>
      <c r="AL35" s="137" t="s">
        <v>22</v>
      </c>
      <c r="AM35" s="120">
        <f t="shared" si="1"/>
        <v>424</v>
      </c>
      <c r="AN35" s="138" t="s">
        <v>100</v>
      </c>
    </row>
    <row r="36" spans="1:40" ht="39.950000000000003" customHeight="1" x14ac:dyDescent="0.25">
      <c r="A36" s="151">
        <f t="shared" si="7"/>
        <v>24</v>
      </c>
      <c r="B36" s="110">
        <f>'2DEMOGRAPHICS'!B36</f>
        <v>24</v>
      </c>
      <c r="C36" s="111" t="str">
        <f>'2DEMOGRAPHICS'!C36</f>
        <v>aaaaa11111aaaaa</v>
      </c>
      <c r="D36" s="112">
        <f>'2DEMOGRAPHICS'!D36</f>
        <v>44409</v>
      </c>
      <c r="E36" s="113">
        <f>'2DEMOGRAPHICS'!E36</f>
        <v>44412</v>
      </c>
      <c r="F36" s="138" t="s">
        <v>104</v>
      </c>
      <c r="G36" s="158">
        <f t="shared" si="3"/>
        <v>44442</v>
      </c>
      <c r="H36" s="129" t="s">
        <v>104</v>
      </c>
      <c r="I36" s="149" t="s">
        <v>104</v>
      </c>
      <c r="J36" s="131" t="s">
        <v>104</v>
      </c>
      <c r="K36" s="150" t="s">
        <v>22</v>
      </c>
      <c r="L36" s="156">
        <f t="shared" si="4"/>
        <v>44472</v>
      </c>
      <c r="M36" s="146" t="s">
        <v>104</v>
      </c>
      <c r="N36" s="147" t="s">
        <v>104</v>
      </c>
      <c r="O36" s="154" t="s">
        <v>104</v>
      </c>
      <c r="P36" s="148" t="s">
        <v>22</v>
      </c>
      <c r="Q36" s="138" t="s">
        <v>104</v>
      </c>
      <c r="R36" s="159">
        <f t="shared" si="5"/>
        <v>44502</v>
      </c>
      <c r="S36" s="143" t="s">
        <v>104</v>
      </c>
      <c r="T36" s="144" t="s">
        <v>104</v>
      </c>
      <c r="U36" s="153" t="s">
        <v>104</v>
      </c>
      <c r="V36" s="145" t="s">
        <v>22</v>
      </c>
      <c r="W36" s="138" t="s">
        <v>104</v>
      </c>
      <c r="X36" s="160">
        <f t="shared" si="6"/>
        <v>44595</v>
      </c>
      <c r="Y36" s="139" t="s">
        <v>104</v>
      </c>
      <c r="Z36" s="140" t="s">
        <v>104</v>
      </c>
      <c r="AA36" s="152" t="s">
        <v>104</v>
      </c>
      <c r="AB36" s="141" t="s">
        <v>22</v>
      </c>
      <c r="AC36" s="161">
        <f t="shared" si="0"/>
        <v>44777</v>
      </c>
      <c r="AD36" s="129" t="s">
        <v>104</v>
      </c>
      <c r="AE36" s="130" t="s">
        <v>104</v>
      </c>
      <c r="AF36" s="131" t="s">
        <v>104</v>
      </c>
      <c r="AG36" s="132" t="s">
        <v>22</v>
      </c>
      <c r="AH36" s="133">
        <v>44803</v>
      </c>
      <c r="AI36" s="134" t="s">
        <v>104</v>
      </c>
      <c r="AJ36" s="135" t="s">
        <v>104</v>
      </c>
      <c r="AK36" s="136" t="s">
        <v>104</v>
      </c>
      <c r="AL36" s="137" t="s">
        <v>22</v>
      </c>
      <c r="AM36" s="120">
        <f t="shared" si="1"/>
        <v>391</v>
      </c>
      <c r="AN36" s="138" t="s">
        <v>104</v>
      </c>
    </row>
    <row r="37" spans="1:40" ht="39.950000000000003" customHeight="1" x14ac:dyDescent="0.25">
      <c r="A37" s="151">
        <f t="shared" si="7"/>
        <v>25</v>
      </c>
      <c r="B37" s="110">
        <f>'2DEMOGRAPHICS'!B37</f>
        <v>25</v>
      </c>
      <c r="C37" s="111" t="str">
        <f>'2DEMOGRAPHICS'!C37</f>
        <v>aaaaa11111aaaaa</v>
      </c>
      <c r="D37" s="112">
        <f>'2DEMOGRAPHICS'!D37</f>
        <v>44075</v>
      </c>
      <c r="E37" s="113">
        <f>'2DEMOGRAPHICS'!E37</f>
        <v>44077</v>
      </c>
      <c r="F37" s="138" t="s">
        <v>100</v>
      </c>
      <c r="G37" s="158">
        <f t="shared" si="3"/>
        <v>44107</v>
      </c>
      <c r="H37" s="129" t="s">
        <v>100</v>
      </c>
      <c r="I37" s="149" t="s">
        <v>100</v>
      </c>
      <c r="J37" s="131" t="s">
        <v>100</v>
      </c>
      <c r="K37" s="150" t="s">
        <v>22</v>
      </c>
      <c r="L37" s="156">
        <f t="shared" si="4"/>
        <v>44137</v>
      </c>
      <c r="M37" s="146" t="s">
        <v>100</v>
      </c>
      <c r="N37" s="147" t="s">
        <v>100</v>
      </c>
      <c r="O37" s="154" t="s">
        <v>100</v>
      </c>
      <c r="P37" s="148" t="s">
        <v>22</v>
      </c>
      <c r="Q37" s="138" t="s">
        <v>100</v>
      </c>
      <c r="R37" s="159">
        <f t="shared" si="5"/>
        <v>44167</v>
      </c>
      <c r="S37" s="143" t="s">
        <v>100</v>
      </c>
      <c r="T37" s="144" t="s">
        <v>100</v>
      </c>
      <c r="U37" s="153" t="s">
        <v>100</v>
      </c>
      <c r="V37" s="145" t="s">
        <v>22</v>
      </c>
      <c r="W37" s="138" t="s">
        <v>100</v>
      </c>
      <c r="X37" s="160">
        <f t="shared" si="6"/>
        <v>44260</v>
      </c>
      <c r="Y37" s="139" t="s">
        <v>100</v>
      </c>
      <c r="Z37" s="140" t="s">
        <v>100</v>
      </c>
      <c r="AA37" s="152" t="s">
        <v>100</v>
      </c>
      <c r="AB37" s="141" t="s">
        <v>22</v>
      </c>
      <c r="AC37" s="161">
        <f t="shared" si="0"/>
        <v>44442</v>
      </c>
      <c r="AD37" s="129" t="s">
        <v>100</v>
      </c>
      <c r="AE37" s="130" t="s">
        <v>100</v>
      </c>
      <c r="AF37" s="131" t="s">
        <v>100</v>
      </c>
      <c r="AG37" s="132" t="s">
        <v>22</v>
      </c>
      <c r="AH37" s="133">
        <v>44803</v>
      </c>
      <c r="AI37" s="134" t="s">
        <v>100</v>
      </c>
      <c r="AJ37" s="135" t="s">
        <v>100</v>
      </c>
      <c r="AK37" s="136" t="s">
        <v>100</v>
      </c>
      <c r="AL37" s="137" t="s">
        <v>22</v>
      </c>
      <c r="AM37" s="120">
        <f t="shared" si="1"/>
        <v>726</v>
      </c>
      <c r="AN37" s="138" t="s">
        <v>100</v>
      </c>
    </row>
    <row r="38" spans="1:40" ht="39.950000000000003" customHeight="1" x14ac:dyDescent="0.25">
      <c r="A38" s="151">
        <f t="shared" si="7"/>
        <v>26</v>
      </c>
      <c r="B38" s="110">
        <f>'2DEMOGRAPHICS'!B38</f>
        <v>26</v>
      </c>
      <c r="C38" s="111" t="str">
        <f>'2DEMOGRAPHICS'!C38</f>
        <v>aaaaa11111aaaaa</v>
      </c>
      <c r="D38" s="112">
        <f>'2DEMOGRAPHICS'!D38</f>
        <v>44105</v>
      </c>
      <c r="E38" s="113">
        <f>'2DEMOGRAPHICS'!E38</f>
        <v>44077</v>
      </c>
      <c r="F38" s="138" t="s">
        <v>104</v>
      </c>
      <c r="G38" s="158">
        <f t="shared" si="3"/>
        <v>44107</v>
      </c>
      <c r="H38" s="129" t="s">
        <v>104</v>
      </c>
      <c r="I38" s="149" t="s">
        <v>104</v>
      </c>
      <c r="J38" s="131" t="s">
        <v>104</v>
      </c>
      <c r="K38" s="150" t="s">
        <v>22</v>
      </c>
      <c r="L38" s="156">
        <f t="shared" si="4"/>
        <v>44137</v>
      </c>
      <c r="M38" s="146" t="s">
        <v>104</v>
      </c>
      <c r="N38" s="147" t="s">
        <v>104</v>
      </c>
      <c r="O38" s="154" t="s">
        <v>104</v>
      </c>
      <c r="P38" s="148" t="s">
        <v>22</v>
      </c>
      <c r="Q38" s="138" t="s">
        <v>104</v>
      </c>
      <c r="R38" s="159">
        <f t="shared" si="5"/>
        <v>44167</v>
      </c>
      <c r="S38" s="143" t="s">
        <v>104</v>
      </c>
      <c r="T38" s="144" t="s">
        <v>104</v>
      </c>
      <c r="U38" s="153" t="s">
        <v>104</v>
      </c>
      <c r="V38" s="145" t="s">
        <v>22</v>
      </c>
      <c r="W38" s="138" t="s">
        <v>104</v>
      </c>
      <c r="X38" s="160">
        <f t="shared" si="6"/>
        <v>44260</v>
      </c>
      <c r="Y38" s="139" t="s">
        <v>104</v>
      </c>
      <c r="Z38" s="140" t="s">
        <v>104</v>
      </c>
      <c r="AA38" s="152" t="s">
        <v>104</v>
      </c>
      <c r="AB38" s="141" t="s">
        <v>22</v>
      </c>
      <c r="AC38" s="161">
        <f t="shared" si="0"/>
        <v>44442</v>
      </c>
      <c r="AD38" s="129" t="s">
        <v>104</v>
      </c>
      <c r="AE38" s="130" t="s">
        <v>104</v>
      </c>
      <c r="AF38" s="131" t="s">
        <v>104</v>
      </c>
      <c r="AG38" s="132" t="s">
        <v>22</v>
      </c>
      <c r="AH38" s="133">
        <v>44803</v>
      </c>
      <c r="AI38" s="134" t="s">
        <v>104</v>
      </c>
      <c r="AJ38" s="135" t="s">
        <v>104</v>
      </c>
      <c r="AK38" s="136" t="s">
        <v>104</v>
      </c>
      <c r="AL38" s="137" t="s">
        <v>22</v>
      </c>
      <c r="AM38" s="120">
        <f t="shared" si="1"/>
        <v>726</v>
      </c>
      <c r="AN38" s="138" t="s">
        <v>104</v>
      </c>
    </row>
    <row r="39" spans="1:40" ht="39.950000000000003" customHeight="1" x14ac:dyDescent="0.25">
      <c r="A39" s="151">
        <f t="shared" si="7"/>
        <v>27</v>
      </c>
      <c r="B39" s="110">
        <f>'2DEMOGRAPHICS'!B39</f>
        <v>27</v>
      </c>
      <c r="C39" s="111" t="str">
        <f>'2DEMOGRAPHICS'!C39</f>
        <v>aaaaa11111aaaaa</v>
      </c>
      <c r="D39" s="112">
        <f>'2DEMOGRAPHICS'!D39</f>
        <v>44136</v>
      </c>
      <c r="E39" s="113">
        <f>'2DEMOGRAPHICS'!E39</f>
        <v>44137</v>
      </c>
      <c r="F39" s="138" t="s">
        <v>100</v>
      </c>
      <c r="G39" s="158">
        <f t="shared" si="3"/>
        <v>44167</v>
      </c>
      <c r="H39" s="129" t="s">
        <v>100</v>
      </c>
      <c r="I39" s="149" t="s">
        <v>100</v>
      </c>
      <c r="J39" s="131" t="s">
        <v>100</v>
      </c>
      <c r="K39" s="150" t="s">
        <v>22</v>
      </c>
      <c r="L39" s="156">
        <f t="shared" si="4"/>
        <v>44197</v>
      </c>
      <c r="M39" s="146" t="s">
        <v>100</v>
      </c>
      <c r="N39" s="147" t="s">
        <v>100</v>
      </c>
      <c r="O39" s="154" t="s">
        <v>100</v>
      </c>
      <c r="P39" s="148" t="s">
        <v>22</v>
      </c>
      <c r="Q39" s="138" t="s">
        <v>100</v>
      </c>
      <c r="R39" s="159">
        <f t="shared" si="5"/>
        <v>44227</v>
      </c>
      <c r="S39" s="143" t="s">
        <v>100</v>
      </c>
      <c r="T39" s="144" t="s">
        <v>100</v>
      </c>
      <c r="U39" s="153" t="s">
        <v>100</v>
      </c>
      <c r="V39" s="145" t="s">
        <v>22</v>
      </c>
      <c r="W39" s="138" t="s">
        <v>100</v>
      </c>
      <c r="X39" s="160">
        <f t="shared" si="6"/>
        <v>44320</v>
      </c>
      <c r="Y39" s="139" t="s">
        <v>100</v>
      </c>
      <c r="Z39" s="140" t="s">
        <v>100</v>
      </c>
      <c r="AA39" s="152" t="s">
        <v>100</v>
      </c>
      <c r="AB39" s="141" t="s">
        <v>22</v>
      </c>
      <c r="AC39" s="161">
        <f t="shared" si="0"/>
        <v>44502</v>
      </c>
      <c r="AD39" s="129" t="s">
        <v>100</v>
      </c>
      <c r="AE39" s="130" t="s">
        <v>100</v>
      </c>
      <c r="AF39" s="131" t="s">
        <v>100</v>
      </c>
      <c r="AG39" s="132" t="s">
        <v>22</v>
      </c>
      <c r="AH39" s="133">
        <v>44803</v>
      </c>
      <c r="AI39" s="134" t="s">
        <v>100</v>
      </c>
      <c r="AJ39" s="135" t="s">
        <v>100</v>
      </c>
      <c r="AK39" s="136" t="s">
        <v>100</v>
      </c>
      <c r="AL39" s="137" t="s">
        <v>22</v>
      </c>
      <c r="AM39" s="120">
        <f t="shared" si="1"/>
        <v>666</v>
      </c>
      <c r="AN39" s="138" t="s">
        <v>100</v>
      </c>
    </row>
    <row r="40" spans="1:40" ht="39.950000000000003" customHeight="1" x14ac:dyDescent="0.25">
      <c r="A40" s="151">
        <f t="shared" si="7"/>
        <v>28</v>
      </c>
      <c r="B40" s="110">
        <f>'2DEMOGRAPHICS'!B40</f>
        <v>28</v>
      </c>
      <c r="C40" s="111" t="str">
        <f>'2DEMOGRAPHICS'!C40</f>
        <v>aaaaa11111aaaaa</v>
      </c>
      <c r="D40" s="112">
        <f>'2DEMOGRAPHICS'!D40</f>
        <v>44166</v>
      </c>
      <c r="E40" s="113">
        <f>'2DEMOGRAPHICS'!E40</f>
        <v>44170</v>
      </c>
      <c r="F40" s="138" t="s">
        <v>104</v>
      </c>
      <c r="G40" s="158">
        <f t="shared" si="3"/>
        <v>44200</v>
      </c>
      <c r="H40" s="129" t="s">
        <v>104</v>
      </c>
      <c r="I40" s="149" t="s">
        <v>104</v>
      </c>
      <c r="J40" s="131" t="s">
        <v>104</v>
      </c>
      <c r="K40" s="150" t="s">
        <v>22</v>
      </c>
      <c r="L40" s="156">
        <f t="shared" si="4"/>
        <v>44230</v>
      </c>
      <c r="M40" s="146" t="s">
        <v>104</v>
      </c>
      <c r="N40" s="147" t="s">
        <v>104</v>
      </c>
      <c r="O40" s="154" t="s">
        <v>104</v>
      </c>
      <c r="P40" s="148" t="s">
        <v>22</v>
      </c>
      <c r="Q40" s="138" t="s">
        <v>104</v>
      </c>
      <c r="R40" s="159">
        <f t="shared" si="5"/>
        <v>44260</v>
      </c>
      <c r="S40" s="143" t="s">
        <v>104</v>
      </c>
      <c r="T40" s="144" t="s">
        <v>104</v>
      </c>
      <c r="U40" s="153" t="s">
        <v>104</v>
      </c>
      <c r="V40" s="145" t="s">
        <v>22</v>
      </c>
      <c r="W40" s="138" t="s">
        <v>104</v>
      </c>
      <c r="X40" s="160">
        <f t="shared" si="6"/>
        <v>44353</v>
      </c>
      <c r="Y40" s="139" t="s">
        <v>104</v>
      </c>
      <c r="Z40" s="140" t="s">
        <v>104</v>
      </c>
      <c r="AA40" s="152" t="s">
        <v>104</v>
      </c>
      <c r="AB40" s="141" t="s">
        <v>22</v>
      </c>
      <c r="AC40" s="161">
        <f t="shared" si="0"/>
        <v>44535</v>
      </c>
      <c r="AD40" s="129" t="s">
        <v>104</v>
      </c>
      <c r="AE40" s="130" t="s">
        <v>104</v>
      </c>
      <c r="AF40" s="131" t="s">
        <v>104</v>
      </c>
      <c r="AG40" s="132" t="s">
        <v>22</v>
      </c>
      <c r="AH40" s="133">
        <v>44803</v>
      </c>
      <c r="AI40" s="134" t="s">
        <v>104</v>
      </c>
      <c r="AJ40" s="135" t="s">
        <v>104</v>
      </c>
      <c r="AK40" s="136" t="s">
        <v>104</v>
      </c>
      <c r="AL40" s="137" t="s">
        <v>22</v>
      </c>
      <c r="AM40" s="120">
        <f t="shared" si="1"/>
        <v>633</v>
      </c>
      <c r="AN40" s="138" t="s">
        <v>104</v>
      </c>
    </row>
    <row r="41" spans="1:40" ht="39.950000000000003" customHeight="1" x14ac:dyDescent="0.25">
      <c r="A41" s="151">
        <f t="shared" si="7"/>
        <v>29</v>
      </c>
      <c r="B41" s="110">
        <f>'2DEMOGRAPHICS'!B41</f>
        <v>29</v>
      </c>
      <c r="C41" s="111" t="str">
        <f>'2DEMOGRAPHICS'!C41</f>
        <v>aaaaa11111aaaaa</v>
      </c>
      <c r="D41" s="112">
        <f>'2DEMOGRAPHICS'!D41</f>
        <v>44197</v>
      </c>
      <c r="E41" s="113">
        <f>'2DEMOGRAPHICS'!E41</f>
        <v>44201</v>
      </c>
      <c r="F41" s="138" t="s">
        <v>100</v>
      </c>
      <c r="G41" s="158">
        <f t="shared" si="3"/>
        <v>44231</v>
      </c>
      <c r="H41" s="129" t="s">
        <v>100</v>
      </c>
      <c r="I41" s="149" t="s">
        <v>100</v>
      </c>
      <c r="J41" s="131" t="s">
        <v>100</v>
      </c>
      <c r="K41" s="150" t="s">
        <v>22</v>
      </c>
      <c r="L41" s="156">
        <f t="shared" si="4"/>
        <v>44261</v>
      </c>
      <c r="M41" s="146" t="s">
        <v>100</v>
      </c>
      <c r="N41" s="147" t="s">
        <v>100</v>
      </c>
      <c r="O41" s="154" t="s">
        <v>100</v>
      </c>
      <c r="P41" s="148" t="s">
        <v>22</v>
      </c>
      <c r="Q41" s="138" t="s">
        <v>100</v>
      </c>
      <c r="R41" s="159">
        <f t="shared" si="5"/>
        <v>44291</v>
      </c>
      <c r="S41" s="143" t="s">
        <v>100</v>
      </c>
      <c r="T41" s="144" t="s">
        <v>100</v>
      </c>
      <c r="U41" s="153" t="s">
        <v>100</v>
      </c>
      <c r="V41" s="145" t="s">
        <v>22</v>
      </c>
      <c r="W41" s="138" t="s">
        <v>100</v>
      </c>
      <c r="X41" s="160">
        <f t="shared" si="6"/>
        <v>44384</v>
      </c>
      <c r="Y41" s="139" t="s">
        <v>100</v>
      </c>
      <c r="Z41" s="140" t="s">
        <v>100</v>
      </c>
      <c r="AA41" s="152" t="s">
        <v>100</v>
      </c>
      <c r="AB41" s="141" t="s">
        <v>22</v>
      </c>
      <c r="AC41" s="161">
        <f t="shared" si="0"/>
        <v>44566</v>
      </c>
      <c r="AD41" s="129" t="s">
        <v>100</v>
      </c>
      <c r="AE41" s="130" t="s">
        <v>100</v>
      </c>
      <c r="AF41" s="131" t="s">
        <v>100</v>
      </c>
      <c r="AG41" s="132" t="s">
        <v>22</v>
      </c>
      <c r="AH41" s="133">
        <v>44803</v>
      </c>
      <c r="AI41" s="134" t="s">
        <v>100</v>
      </c>
      <c r="AJ41" s="135" t="s">
        <v>100</v>
      </c>
      <c r="AK41" s="136" t="s">
        <v>100</v>
      </c>
      <c r="AL41" s="137" t="s">
        <v>22</v>
      </c>
      <c r="AM41" s="120">
        <f t="shared" si="1"/>
        <v>602</v>
      </c>
      <c r="AN41" s="138" t="s">
        <v>100</v>
      </c>
    </row>
    <row r="42" spans="1:40" ht="39.950000000000003" customHeight="1" x14ac:dyDescent="0.25">
      <c r="A42" s="151">
        <f t="shared" si="7"/>
        <v>30</v>
      </c>
      <c r="B42" s="110">
        <f>'2DEMOGRAPHICS'!B42</f>
        <v>30</v>
      </c>
      <c r="C42" s="111" t="str">
        <f>'2DEMOGRAPHICS'!C42</f>
        <v>aaaaa11111aaaaa</v>
      </c>
      <c r="D42" s="112">
        <f>'2DEMOGRAPHICS'!D42</f>
        <v>44228</v>
      </c>
      <c r="E42" s="113">
        <f>'2DEMOGRAPHICS'!E42</f>
        <v>44230</v>
      </c>
      <c r="F42" s="138" t="s">
        <v>104</v>
      </c>
      <c r="G42" s="158">
        <f t="shared" si="3"/>
        <v>44260</v>
      </c>
      <c r="H42" s="129" t="s">
        <v>104</v>
      </c>
      <c r="I42" s="149" t="s">
        <v>104</v>
      </c>
      <c r="J42" s="131" t="s">
        <v>104</v>
      </c>
      <c r="K42" s="150" t="s">
        <v>22</v>
      </c>
      <c r="L42" s="156">
        <f t="shared" si="4"/>
        <v>44290</v>
      </c>
      <c r="M42" s="146" t="s">
        <v>104</v>
      </c>
      <c r="N42" s="147" t="s">
        <v>104</v>
      </c>
      <c r="O42" s="154" t="s">
        <v>104</v>
      </c>
      <c r="P42" s="148" t="s">
        <v>22</v>
      </c>
      <c r="Q42" s="138" t="s">
        <v>104</v>
      </c>
      <c r="R42" s="159">
        <f t="shared" si="5"/>
        <v>44320</v>
      </c>
      <c r="S42" s="143" t="s">
        <v>104</v>
      </c>
      <c r="T42" s="144" t="s">
        <v>104</v>
      </c>
      <c r="U42" s="153" t="s">
        <v>104</v>
      </c>
      <c r="V42" s="145" t="s">
        <v>22</v>
      </c>
      <c r="W42" s="138" t="s">
        <v>104</v>
      </c>
      <c r="X42" s="160">
        <f t="shared" si="6"/>
        <v>44413</v>
      </c>
      <c r="Y42" s="139" t="s">
        <v>104</v>
      </c>
      <c r="Z42" s="140" t="s">
        <v>104</v>
      </c>
      <c r="AA42" s="152" t="s">
        <v>104</v>
      </c>
      <c r="AB42" s="141" t="s">
        <v>22</v>
      </c>
      <c r="AC42" s="161">
        <f t="shared" si="0"/>
        <v>44595</v>
      </c>
      <c r="AD42" s="129" t="s">
        <v>104</v>
      </c>
      <c r="AE42" s="130" t="s">
        <v>104</v>
      </c>
      <c r="AF42" s="131" t="s">
        <v>104</v>
      </c>
      <c r="AG42" s="132" t="s">
        <v>22</v>
      </c>
      <c r="AH42" s="133">
        <v>44803</v>
      </c>
      <c r="AI42" s="134" t="s">
        <v>104</v>
      </c>
      <c r="AJ42" s="135" t="s">
        <v>104</v>
      </c>
      <c r="AK42" s="136" t="s">
        <v>104</v>
      </c>
      <c r="AL42" s="137" t="s">
        <v>22</v>
      </c>
      <c r="AM42" s="120">
        <f t="shared" si="1"/>
        <v>573</v>
      </c>
      <c r="AN42" s="138" t="s">
        <v>104</v>
      </c>
    </row>
    <row r="43" spans="1:40" ht="39.950000000000003" customHeight="1" x14ac:dyDescent="0.25">
      <c r="A43" s="151">
        <f t="shared" si="7"/>
        <v>31</v>
      </c>
      <c r="B43" s="110">
        <f>'2DEMOGRAPHICS'!B43</f>
        <v>31</v>
      </c>
      <c r="C43" s="111" t="str">
        <f>'2DEMOGRAPHICS'!C43</f>
        <v>aaaaa11111aaaaa</v>
      </c>
      <c r="D43" s="112">
        <f>'2DEMOGRAPHICS'!D43</f>
        <v>44256</v>
      </c>
      <c r="E43" s="113">
        <f>'2DEMOGRAPHICS'!E43</f>
        <v>44259</v>
      </c>
      <c r="F43" s="138" t="s">
        <v>100</v>
      </c>
      <c r="G43" s="158">
        <f t="shared" si="3"/>
        <v>44289</v>
      </c>
      <c r="H43" s="129" t="s">
        <v>100</v>
      </c>
      <c r="I43" s="149" t="s">
        <v>100</v>
      </c>
      <c r="J43" s="131" t="s">
        <v>100</v>
      </c>
      <c r="K43" s="150" t="s">
        <v>22</v>
      </c>
      <c r="L43" s="156">
        <f t="shared" si="4"/>
        <v>44319</v>
      </c>
      <c r="M43" s="146" t="s">
        <v>100</v>
      </c>
      <c r="N43" s="147" t="s">
        <v>100</v>
      </c>
      <c r="O43" s="154" t="s">
        <v>100</v>
      </c>
      <c r="P43" s="148" t="s">
        <v>22</v>
      </c>
      <c r="Q43" s="138" t="s">
        <v>100</v>
      </c>
      <c r="R43" s="159">
        <f t="shared" si="5"/>
        <v>44349</v>
      </c>
      <c r="S43" s="143" t="s">
        <v>100</v>
      </c>
      <c r="T43" s="144" t="s">
        <v>100</v>
      </c>
      <c r="U43" s="153" t="s">
        <v>100</v>
      </c>
      <c r="V43" s="145" t="s">
        <v>22</v>
      </c>
      <c r="W43" s="138" t="s">
        <v>100</v>
      </c>
      <c r="X43" s="160">
        <f t="shared" si="6"/>
        <v>44442</v>
      </c>
      <c r="Y43" s="139" t="s">
        <v>100</v>
      </c>
      <c r="Z43" s="140" t="s">
        <v>100</v>
      </c>
      <c r="AA43" s="152" t="s">
        <v>100</v>
      </c>
      <c r="AB43" s="141" t="s">
        <v>22</v>
      </c>
      <c r="AC43" s="161">
        <f t="shared" si="0"/>
        <v>44624</v>
      </c>
      <c r="AD43" s="129" t="s">
        <v>100</v>
      </c>
      <c r="AE43" s="130" t="s">
        <v>100</v>
      </c>
      <c r="AF43" s="131" t="s">
        <v>100</v>
      </c>
      <c r="AG43" s="132" t="s">
        <v>22</v>
      </c>
      <c r="AH43" s="133">
        <v>44803</v>
      </c>
      <c r="AI43" s="134" t="s">
        <v>100</v>
      </c>
      <c r="AJ43" s="135" t="s">
        <v>100</v>
      </c>
      <c r="AK43" s="136" t="s">
        <v>100</v>
      </c>
      <c r="AL43" s="137" t="s">
        <v>22</v>
      </c>
      <c r="AM43" s="120">
        <f t="shared" si="1"/>
        <v>544</v>
      </c>
      <c r="AN43" s="138" t="s">
        <v>100</v>
      </c>
    </row>
    <row r="44" spans="1:40" ht="39.950000000000003" customHeight="1" x14ac:dyDescent="0.25">
      <c r="A44" s="151">
        <f t="shared" si="7"/>
        <v>32</v>
      </c>
      <c r="B44" s="110">
        <f>'2DEMOGRAPHICS'!B44</f>
        <v>32</v>
      </c>
      <c r="C44" s="111" t="str">
        <f>'2DEMOGRAPHICS'!C44</f>
        <v>aaaaa11111aaaaa</v>
      </c>
      <c r="D44" s="112">
        <f>'2DEMOGRAPHICS'!D44</f>
        <v>44287</v>
      </c>
      <c r="E44" s="113">
        <f>'2DEMOGRAPHICS'!E44</f>
        <v>44291</v>
      </c>
      <c r="F44" s="138" t="s">
        <v>104</v>
      </c>
      <c r="G44" s="158">
        <f t="shared" si="3"/>
        <v>44321</v>
      </c>
      <c r="H44" s="129" t="s">
        <v>104</v>
      </c>
      <c r="I44" s="149" t="s">
        <v>104</v>
      </c>
      <c r="J44" s="131" t="s">
        <v>104</v>
      </c>
      <c r="K44" s="150" t="s">
        <v>22</v>
      </c>
      <c r="L44" s="156">
        <f t="shared" si="4"/>
        <v>44351</v>
      </c>
      <c r="M44" s="146" t="s">
        <v>104</v>
      </c>
      <c r="N44" s="147" t="s">
        <v>104</v>
      </c>
      <c r="O44" s="154" t="s">
        <v>104</v>
      </c>
      <c r="P44" s="148" t="s">
        <v>22</v>
      </c>
      <c r="Q44" s="138" t="s">
        <v>104</v>
      </c>
      <c r="R44" s="159">
        <f t="shared" si="5"/>
        <v>44381</v>
      </c>
      <c r="S44" s="143" t="s">
        <v>104</v>
      </c>
      <c r="T44" s="144" t="s">
        <v>104</v>
      </c>
      <c r="U44" s="153" t="s">
        <v>104</v>
      </c>
      <c r="V44" s="145" t="s">
        <v>22</v>
      </c>
      <c r="W44" s="138" t="s">
        <v>104</v>
      </c>
      <c r="X44" s="160">
        <f t="shared" si="6"/>
        <v>44474</v>
      </c>
      <c r="Y44" s="139" t="s">
        <v>104</v>
      </c>
      <c r="Z44" s="140" t="s">
        <v>104</v>
      </c>
      <c r="AA44" s="152" t="s">
        <v>104</v>
      </c>
      <c r="AB44" s="141" t="s">
        <v>22</v>
      </c>
      <c r="AC44" s="161">
        <f t="shared" si="0"/>
        <v>44656</v>
      </c>
      <c r="AD44" s="129" t="s">
        <v>104</v>
      </c>
      <c r="AE44" s="130" t="s">
        <v>104</v>
      </c>
      <c r="AF44" s="131" t="s">
        <v>104</v>
      </c>
      <c r="AG44" s="132" t="s">
        <v>22</v>
      </c>
      <c r="AH44" s="133">
        <v>44803</v>
      </c>
      <c r="AI44" s="134" t="s">
        <v>104</v>
      </c>
      <c r="AJ44" s="135" t="s">
        <v>104</v>
      </c>
      <c r="AK44" s="136" t="s">
        <v>104</v>
      </c>
      <c r="AL44" s="137" t="s">
        <v>22</v>
      </c>
      <c r="AM44" s="120">
        <f t="shared" si="1"/>
        <v>512</v>
      </c>
      <c r="AN44" s="138" t="s">
        <v>104</v>
      </c>
    </row>
    <row r="45" spans="1:40" ht="39.950000000000003" customHeight="1" x14ac:dyDescent="0.25">
      <c r="A45" s="151">
        <f t="shared" si="7"/>
        <v>33</v>
      </c>
      <c r="B45" s="110">
        <f>'2DEMOGRAPHICS'!B45</f>
        <v>33</v>
      </c>
      <c r="C45" s="111" t="str">
        <f>'2DEMOGRAPHICS'!C45</f>
        <v>aaaaa11111aaaaa</v>
      </c>
      <c r="D45" s="112">
        <f>'2DEMOGRAPHICS'!D45</f>
        <v>44317</v>
      </c>
      <c r="E45" s="113">
        <f>'2DEMOGRAPHICS'!E45</f>
        <v>44319</v>
      </c>
      <c r="F45" s="138" t="s">
        <v>100</v>
      </c>
      <c r="G45" s="158">
        <f t="shared" si="3"/>
        <v>44349</v>
      </c>
      <c r="H45" s="129" t="s">
        <v>100</v>
      </c>
      <c r="I45" s="149" t="s">
        <v>100</v>
      </c>
      <c r="J45" s="131" t="s">
        <v>100</v>
      </c>
      <c r="K45" s="150" t="s">
        <v>22</v>
      </c>
      <c r="L45" s="156">
        <f t="shared" si="4"/>
        <v>44379</v>
      </c>
      <c r="M45" s="146" t="s">
        <v>100</v>
      </c>
      <c r="N45" s="147" t="s">
        <v>100</v>
      </c>
      <c r="O45" s="154" t="s">
        <v>100</v>
      </c>
      <c r="P45" s="148" t="s">
        <v>22</v>
      </c>
      <c r="Q45" s="138" t="s">
        <v>100</v>
      </c>
      <c r="R45" s="159">
        <f t="shared" si="5"/>
        <v>44409</v>
      </c>
      <c r="S45" s="143" t="s">
        <v>100</v>
      </c>
      <c r="T45" s="144" t="s">
        <v>100</v>
      </c>
      <c r="U45" s="153" t="s">
        <v>100</v>
      </c>
      <c r="V45" s="145" t="s">
        <v>22</v>
      </c>
      <c r="W45" s="138" t="s">
        <v>100</v>
      </c>
      <c r="X45" s="160">
        <f t="shared" si="6"/>
        <v>44502</v>
      </c>
      <c r="Y45" s="139" t="s">
        <v>100</v>
      </c>
      <c r="Z45" s="140" t="s">
        <v>100</v>
      </c>
      <c r="AA45" s="152" t="s">
        <v>100</v>
      </c>
      <c r="AB45" s="141" t="s">
        <v>22</v>
      </c>
      <c r="AC45" s="161">
        <f t="shared" ref="AC45:AC62" si="8">E45+365</f>
        <v>44684</v>
      </c>
      <c r="AD45" s="129" t="s">
        <v>100</v>
      </c>
      <c r="AE45" s="130" t="s">
        <v>100</v>
      </c>
      <c r="AF45" s="131" t="s">
        <v>100</v>
      </c>
      <c r="AG45" s="132" t="s">
        <v>22</v>
      </c>
      <c r="AH45" s="133">
        <v>44803</v>
      </c>
      <c r="AI45" s="134" t="s">
        <v>100</v>
      </c>
      <c r="AJ45" s="135" t="s">
        <v>100</v>
      </c>
      <c r="AK45" s="136" t="s">
        <v>100</v>
      </c>
      <c r="AL45" s="137" t="s">
        <v>22</v>
      </c>
      <c r="AM45" s="120">
        <f t="shared" ref="AM45:AM62" si="9">AH45-E45</f>
        <v>484</v>
      </c>
      <c r="AN45" s="138" t="s">
        <v>100</v>
      </c>
    </row>
    <row r="46" spans="1:40" ht="39.950000000000003" customHeight="1" x14ac:dyDescent="0.25">
      <c r="A46" s="151">
        <f t="shared" si="7"/>
        <v>34</v>
      </c>
      <c r="B46" s="110">
        <f>'2DEMOGRAPHICS'!B46</f>
        <v>34</v>
      </c>
      <c r="C46" s="111" t="str">
        <f>'2DEMOGRAPHICS'!C46</f>
        <v>aaaaa11111aaaaa</v>
      </c>
      <c r="D46" s="112">
        <f>'2DEMOGRAPHICS'!D46</f>
        <v>44348</v>
      </c>
      <c r="E46" s="113">
        <f>'2DEMOGRAPHICS'!E46</f>
        <v>44351</v>
      </c>
      <c r="F46" s="138" t="s">
        <v>104</v>
      </c>
      <c r="G46" s="158">
        <f t="shared" si="3"/>
        <v>44381</v>
      </c>
      <c r="H46" s="129" t="s">
        <v>104</v>
      </c>
      <c r="I46" s="149" t="s">
        <v>104</v>
      </c>
      <c r="J46" s="131" t="s">
        <v>104</v>
      </c>
      <c r="K46" s="150" t="s">
        <v>22</v>
      </c>
      <c r="L46" s="156">
        <f t="shared" si="4"/>
        <v>44411</v>
      </c>
      <c r="M46" s="146" t="s">
        <v>104</v>
      </c>
      <c r="N46" s="147" t="s">
        <v>104</v>
      </c>
      <c r="O46" s="154" t="s">
        <v>104</v>
      </c>
      <c r="P46" s="148" t="s">
        <v>22</v>
      </c>
      <c r="Q46" s="138" t="s">
        <v>104</v>
      </c>
      <c r="R46" s="159">
        <f t="shared" si="5"/>
        <v>44441</v>
      </c>
      <c r="S46" s="143" t="s">
        <v>104</v>
      </c>
      <c r="T46" s="144" t="s">
        <v>104</v>
      </c>
      <c r="U46" s="153" t="s">
        <v>104</v>
      </c>
      <c r="V46" s="145" t="s">
        <v>22</v>
      </c>
      <c r="W46" s="138" t="s">
        <v>104</v>
      </c>
      <c r="X46" s="160">
        <f t="shared" si="6"/>
        <v>44534</v>
      </c>
      <c r="Y46" s="139" t="s">
        <v>104</v>
      </c>
      <c r="Z46" s="140" t="s">
        <v>104</v>
      </c>
      <c r="AA46" s="152" t="s">
        <v>104</v>
      </c>
      <c r="AB46" s="141" t="s">
        <v>22</v>
      </c>
      <c r="AC46" s="161">
        <f t="shared" si="8"/>
        <v>44716</v>
      </c>
      <c r="AD46" s="129" t="s">
        <v>104</v>
      </c>
      <c r="AE46" s="130" t="s">
        <v>104</v>
      </c>
      <c r="AF46" s="131" t="s">
        <v>104</v>
      </c>
      <c r="AG46" s="132" t="s">
        <v>22</v>
      </c>
      <c r="AH46" s="133">
        <v>44803</v>
      </c>
      <c r="AI46" s="134" t="s">
        <v>104</v>
      </c>
      <c r="AJ46" s="135" t="s">
        <v>104</v>
      </c>
      <c r="AK46" s="136" t="s">
        <v>104</v>
      </c>
      <c r="AL46" s="137" t="s">
        <v>22</v>
      </c>
      <c r="AM46" s="120">
        <f t="shared" si="9"/>
        <v>452</v>
      </c>
      <c r="AN46" s="138" t="s">
        <v>104</v>
      </c>
    </row>
    <row r="47" spans="1:40" ht="39.950000000000003" customHeight="1" x14ac:dyDescent="0.25">
      <c r="A47" s="151">
        <f t="shared" si="7"/>
        <v>35</v>
      </c>
      <c r="B47" s="110">
        <f>'2DEMOGRAPHICS'!B47</f>
        <v>35</v>
      </c>
      <c r="C47" s="111" t="str">
        <f>'2DEMOGRAPHICS'!C47</f>
        <v>aaaaa11111aaaaa</v>
      </c>
      <c r="D47" s="112">
        <f>'2DEMOGRAPHICS'!D47</f>
        <v>44378</v>
      </c>
      <c r="E47" s="113">
        <f>'2DEMOGRAPHICS'!E47</f>
        <v>44379</v>
      </c>
      <c r="F47" s="138" t="s">
        <v>100</v>
      </c>
      <c r="G47" s="158">
        <f t="shared" si="3"/>
        <v>44409</v>
      </c>
      <c r="H47" s="129" t="s">
        <v>100</v>
      </c>
      <c r="I47" s="149" t="s">
        <v>100</v>
      </c>
      <c r="J47" s="131" t="s">
        <v>100</v>
      </c>
      <c r="K47" s="150" t="s">
        <v>22</v>
      </c>
      <c r="L47" s="156">
        <f t="shared" si="4"/>
        <v>44439</v>
      </c>
      <c r="M47" s="146" t="s">
        <v>100</v>
      </c>
      <c r="N47" s="147" t="s">
        <v>100</v>
      </c>
      <c r="O47" s="154" t="s">
        <v>100</v>
      </c>
      <c r="P47" s="148" t="s">
        <v>22</v>
      </c>
      <c r="Q47" s="138" t="s">
        <v>100</v>
      </c>
      <c r="R47" s="159">
        <f t="shared" si="5"/>
        <v>44469</v>
      </c>
      <c r="S47" s="143" t="s">
        <v>100</v>
      </c>
      <c r="T47" s="144" t="s">
        <v>100</v>
      </c>
      <c r="U47" s="153" t="s">
        <v>100</v>
      </c>
      <c r="V47" s="145" t="s">
        <v>22</v>
      </c>
      <c r="W47" s="138" t="s">
        <v>100</v>
      </c>
      <c r="X47" s="160">
        <f t="shared" si="6"/>
        <v>44562</v>
      </c>
      <c r="Y47" s="139" t="s">
        <v>100</v>
      </c>
      <c r="Z47" s="140" t="s">
        <v>100</v>
      </c>
      <c r="AA47" s="152" t="s">
        <v>100</v>
      </c>
      <c r="AB47" s="141" t="s">
        <v>22</v>
      </c>
      <c r="AC47" s="161">
        <f t="shared" si="8"/>
        <v>44744</v>
      </c>
      <c r="AD47" s="129" t="s">
        <v>100</v>
      </c>
      <c r="AE47" s="130" t="s">
        <v>100</v>
      </c>
      <c r="AF47" s="131" t="s">
        <v>100</v>
      </c>
      <c r="AG47" s="132" t="s">
        <v>22</v>
      </c>
      <c r="AH47" s="133">
        <v>44803</v>
      </c>
      <c r="AI47" s="134" t="s">
        <v>100</v>
      </c>
      <c r="AJ47" s="135" t="s">
        <v>100</v>
      </c>
      <c r="AK47" s="136" t="s">
        <v>100</v>
      </c>
      <c r="AL47" s="137" t="s">
        <v>22</v>
      </c>
      <c r="AM47" s="120">
        <f t="shared" si="9"/>
        <v>424</v>
      </c>
      <c r="AN47" s="138" t="s">
        <v>100</v>
      </c>
    </row>
    <row r="48" spans="1:40" ht="39.950000000000003" customHeight="1" x14ac:dyDescent="0.25">
      <c r="A48" s="151">
        <f t="shared" si="7"/>
        <v>36</v>
      </c>
      <c r="B48" s="110">
        <f>'2DEMOGRAPHICS'!B48</f>
        <v>36</v>
      </c>
      <c r="C48" s="111" t="str">
        <f>'2DEMOGRAPHICS'!C48</f>
        <v>aaaaa11111aaaaa</v>
      </c>
      <c r="D48" s="112">
        <f>'2DEMOGRAPHICS'!D48</f>
        <v>44409</v>
      </c>
      <c r="E48" s="113">
        <f>'2DEMOGRAPHICS'!E48</f>
        <v>44412</v>
      </c>
      <c r="F48" s="138" t="s">
        <v>104</v>
      </c>
      <c r="G48" s="158">
        <f t="shared" si="3"/>
        <v>44442</v>
      </c>
      <c r="H48" s="129" t="s">
        <v>104</v>
      </c>
      <c r="I48" s="149" t="s">
        <v>104</v>
      </c>
      <c r="J48" s="131" t="s">
        <v>104</v>
      </c>
      <c r="K48" s="150" t="s">
        <v>22</v>
      </c>
      <c r="L48" s="156">
        <f t="shared" si="4"/>
        <v>44472</v>
      </c>
      <c r="M48" s="146" t="s">
        <v>104</v>
      </c>
      <c r="N48" s="147" t="s">
        <v>104</v>
      </c>
      <c r="O48" s="154" t="s">
        <v>104</v>
      </c>
      <c r="P48" s="148" t="s">
        <v>22</v>
      </c>
      <c r="Q48" s="138" t="s">
        <v>104</v>
      </c>
      <c r="R48" s="159">
        <f t="shared" si="5"/>
        <v>44502</v>
      </c>
      <c r="S48" s="143" t="s">
        <v>104</v>
      </c>
      <c r="T48" s="144" t="s">
        <v>104</v>
      </c>
      <c r="U48" s="153" t="s">
        <v>104</v>
      </c>
      <c r="V48" s="145" t="s">
        <v>22</v>
      </c>
      <c r="W48" s="138" t="s">
        <v>104</v>
      </c>
      <c r="X48" s="160">
        <f t="shared" si="6"/>
        <v>44595</v>
      </c>
      <c r="Y48" s="139" t="s">
        <v>104</v>
      </c>
      <c r="Z48" s="140" t="s">
        <v>104</v>
      </c>
      <c r="AA48" s="152" t="s">
        <v>104</v>
      </c>
      <c r="AB48" s="141" t="s">
        <v>22</v>
      </c>
      <c r="AC48" s="161">
        <f t="shared" si="8"/>
        <v>44777</v>
      </c>
      <c r="AD48" s="129" t="s">
        <v>104</v>
      </c>
      <c r="AE48" s="130" t="s">
        <v>104</v>
      </c>
      <c r="AF48" s="131" t="s">
        <v>104</v>
      </c>
      <c r="AG48" s="132" t="s">
        <v>22</v>
      </c>
      <c r="AH48" s="133">
        <v>44803</v>
      </c>
      <c r="AI48" s="134" t="s">
        <v>104</v>
      </c>
      <c r="AJ48" s="135" t="s">
        <v>104</v>
      </c>
      <c r="AK48" s="136" t="s">
        <v>104</v>
      </c>
      <c r="AL48" s="137" t="s">
        <v>22</v>
      </c>
      <c r="AM48" s="120">
        <f t="shared" si="9"/>
        <v>391</v>
      </c>
      <c r="AN48" s="138" t="s">
        <v>104</v>
      </c>
    </row>
    <row r="49" spans="1:40" ht="39.950000000000003" customHeight="1" x14ac:dyDescent="0.25">
      <c r="A49" s="151">
        <f t="shared" si="7"/>
        <v>37</v>
      </c>
      <c r="B49" s="110">
        <f>'2DEMOGRAPHICS'!B49</f>
        <v>37</v>
      </c>
      <c r="C49" s="111" t="str">
        <f>'2DEMOGRAPHICS'!C49</f>
        <v>aaaaa11111aaaaa</v>
      </c>
      <c r="D49" s="112">
        <f>'2DEMOGRAPHICS'!D49</f>
        <v>44075</v>
      </c>
      <c r="E49" s="113">
        <f>'2DEMOGRAPHICS'!E49</f>
        <v>44077</v>
      </c>
      <c r="F49" s="138" t="s">
        <v>100</v>
      </c>
      <c r="G49" s="158">
        <f t="shared" si="3"/>
        <v>44107</v>
      </c>
      <c r="H49" s="129" t="s">
        <v>100</v>
      </c>
      <c r="I49" s="149" t="s">
        <v>100</v>
      </c>
      <c r="J49" s="131" t="s">
        <v>100</v>
      </c>
      <c r="K49" s="150" t="s">
        <v>22</v>
      </c>
      <c r="L49" s="156">
        <f t="shared" si="4"/>
        <v>44137</v>
      </c>
      <c r="M49" s="146" t="s">
        <v>100</v>
      </c>
      <c r="N49" s="147" t="s">
        <v>100</v>
      </c>
      <c r="O49" s="154" t="s">
        <v>100</v>
      </c>
      <c r="P49" s="148" t="s">
        <v>22</v>
      </c>
      <c r="Q49" s="138" t="s">
        <v>100</v>
      </c>
      <c r="R49" s="159">
        <f t="shared" si="5"/>
        <v>44167</v>
      </c>
      <c r="S49" s="143" t="s">
        <v>100</v>
      </c>
      <c r="T49" s="144" t="s">
        <v>100</v>
      </c>
      <c r="U49" s="153" t="s">
        <v>100</v>
      </c>
      <c r="V49" s="145" t="s">
        <v>22</v>
      </c>
      <c r="W49" s="138" t="s">
        <v>100</v>
      </c>
      <c r="X49" s="160">
        <f t="shared" si="6"/>
        <v>44260</v>
      </c>
      <c r="Y49" s="139" t="s">
        <v>100</v>
      </c>
      <c r="Z49" s="140" t="s">
        <v>100</v>
      </c>
      <c r="AA49" s="152" t="s">
        <v>100</v>
      </c>
      <c r="AB49" s="141" t="s">
        <v>22</v>
      </c>
      <c r="AC49" s="161">
        <f t="shared" si="8"/>
        <v>44442</v>
      </c>
      <c r="AD49" s="129" t="s">
        <v>100</v>
      </c>
      <c r="AE49" s="130" t="s">
        <v>100</v>
      </c>
      <c r="AF49" s="131" t="s">
        <v>100</v>
      </c>
      <c r="AG49" s="132" t="s">
        <v>22</v>
      </c>
      <c r="AH49" s="133">
        <v>44803</v>
      </c>
      <c r="AI49" s="134" t="s">
        <v>100</v>
      </c>
      <c r="AJ49" s="135" t="s">
        <v>100</v>
      </c>
      <c r="AK49" s="136" t="s">
        <v>100</v>
      </c>
      <c r="AL49" s="137" t="s">
        <v>22</v>
      </c>
      <c r="AM49" s="120">
        <f t="shared" si="9"/>
        <v>726</v>
      </c>
      <c r="AN49" s="138" t="s">
        <v>100</v>
      </c>
    </row>
    <row r="50" spans="1:40" ht="39.950000000000003" customHeight="1" x14ac:dyDescent="0.25">
      <c r="A50" s="151">
        <f t="shared" si="7"/>
        <v>38</v>
      </c>
      <c r="B50" s="110">
        <f>'2DEMOGRAPHICS'!B50</f>
        <v>38</v>
      </c>
      <c r="C50" s="111" t="str">
        <f>'2DEMOGRAPHICS'!C50</f>
        <v>aaaaa11111aaaaa</v>
      </c>
      <c r="D50" s="112">
        <f>'2DEMOGRAPHICS'!D50</f>
        <v>44105</v>
      </c>
      <c r="E50" s="113">
        <f>'2DEMOGRAPHICS'!E50</f>
        <v>44077</v>
      </c>
      <c r="F50" s="138" t="s">
        <v>104</v>
      </c>
      <c r="G50" s="158">
        <f t="shared" si="3"/>
        <v>44107</v>
      </c>
      <c r="H50" s="129" t="s">
        <v>104</v>
      </c>
      <c r="I50" s="149" t="s">
        <v>104</v>
      </c>
      <c r="J50" s="131" t="s">
        <v>104</v>
      </c>
      <c r="K50" s="150" t="s">
        <v>22</v>
      </c>
      <c r="L50" s="156">
        <f t="shared" si="4"/>
        <v>44137</v>
      </c>
      <c r="M50" s="146" t="s">
        <v>104</v>
      </c>
      <c r="N50" s="147" t="s">
        <v>104</v>
      </c>
      <c r="O50" s="154" t="s">
        <v>104</v>
      </c>
      <c r="P50" s="148" t="s">
        <v>22</v>
      </c>
      <c r="Q50" s="138" t="s">
        <v>104</v>
      </c>
      <c r="R50" s="159">
        <f t="shared" si="5"/>
        <v>44167</v>
      </c>
      <c r="S50" s="143" t="s">
        <v>104</v>
      </c>
      <c r="T50" s="144" t="s">
        <v>104</v>
      </c>
      <c r="U50" s="153" t="s">
        <v>104</v>
      </c>
      <c r="V50" s="145" t="s">
        <v>22</v>
      </c>
      <c r="W50" s="138" t="s">
        <v>104</v>
      </c>
      <c r="X50" s="160">
        <f t="shared" si="6"/>
        <v>44260</v>
      </c>
      <c r="Y50" s="139" t="s">
        <v>104</v>
      </c>
      <c r="Z50" s="140" t="s">
        <v>104</v>
      </c>
      <c r="AA50" s="152" t="s">
        <v>104</v>
      </c>
      <c r="AB50" s="141" t="s">
        <v>22</v>
      </c>
      <c r="AC50" s="161">
        <f t="shared" si="8"/>
        <v>44442</v>
      </c>
      <c r="AD50" s="129" t="s">
        <v>104</v>
      </c>
      <c r="AE50" s="130" t="s">
        <v>104</v>
      </c>
      <c r="AF50" s="131" t="s">
        <v>104</v>
      </c>
      <c r="AG50" s="132" t="s">
        <v>22</v>
      </c>
      <c r="AH50" s="133">
        <v>44803</v>
      </c>
      <c r="AI50" s="134" t="s">
        <v>104</v>
      </c>
      <c r="AJ50" s="135" t="s">
        <v>104</v>
      </c>
      <c r="AK50" s="136" t="s">
        <v>104</v>
      </c>
      <c r="AL50" s="137" t="s">
        <v>22</v>
      </c>
      <c r="AM50" s="120">
        <f t="shared" si="9"/>
        <v>726</v>
      </c>
      <c r="AN50" s="138" t="s">
        <v>104</v>
      </c>
    </row>
    <row r="51" spans="1:40" ht="39.950000000000003" customHeight="1" x14ac:dyDescent="0.25">
      <c r="A51" s="151">
        <f t="shared" si="7"/>
        <v>39</v>
      </c>
      <c r="B51" s="110">
        <f>'2DEMOGRAPHICS'!B51</f>
        <v>39</v>
      </c>
      <c r="C51" s="111" t="str">
        <f>'2DEMOGRAPHICS'!C51</f>
        <v>aaaaa11111aaaaa</v>
      </c>
      <c r="D51" s="112">
        <f>'2DEMOGRAPHICS'!D51</f>
        <v>44136</v>
      </c>
      <c r="E51" s="113">
        <f>'2DEMOGRAPHICS'!E51</f>
        <v>44137</v>
      </c>
      <c r="F51" s="138" t="s">
        <v>100</v>
      </c>
      <c r="G51" s="158">
        <f t="shared" si="3"/>
        <v>44167</v>
      </c>
      <c r="H51" s="129" t="s">
        <v>100</v>
      </c>
      <c r="I51" s="149" t="s">
        <v>100</v>
      </c>
      <c r="J51" s="131" t="s">
        <v>100</v>
      </c>
      <c r="K51" s="150" t="s">
        <v>22</v>
      </c>
      <c r="L51" s="156">
        <f t="shared" si="4"/>
        <v>44197</v>
      </c>
      <c r="M51" s="146" t="s">
        <v>100</v>
      </c>
      <c r="N51" s="147" t="s">
        <v>100</v>
      </c>
      <c r="O51" s="154" t="s">
        <v>100</v>
      </c>
      <c r="P51" s="148" t="s">
        <v>22</v>
      </c>
      <c r="Q51" s="138" t="s">
        <v>100</v>
      </c>
      <c r="R51" s="159">
        <f t="shared" si="5"/>
        <v>44227</v>
      </c>
      <c r="S51" s="143" t="s">
        <v>100</v>
      </c>
      <c r="T51" s="144" t="s">
        <v>100</v>
      </c>
      <c r="U51" s="153" t="s">
        <v>100</v>
      </c>
      <c r="V51" s="145" t="s">
        <v>22</v>
      </c>
      <c r="W51" s="138" t="s">
        <v>100</v>
      </c>
      <c r="X51" s="160">
        <f t="shared" si="6"/>
        <v>44320</v>
      </c>
      <c r="Y51" s="139" t="s">
        <v>100</v>
      </c>
      <c r="Z51" s="140" t="s">
        <v>100</v>
      </c>
      <c r="AA51" s="152" t="s">
        <v>100</v>
      </c>
      <c r="AB51" s="141" t="s">
        <v>22</v>
      </c>
      <c r="AC51" s="161">
        <f t="shared" si="8"/>
        <v>44502</v>
      </c>
      <c r="AD51" s="129" t="s">
        <v>100</v>
      </c>
      <c r="AE51" s="130" t="s">
        <v>100</v>
      </c>
      <c r="AF51" s="131" t="s">
        <v>100</v>
      </c>
      <c r="AG51" s="132" t="s">
        <v>22</v>
      </c>
      <c r="AH51" s="133">
        <v>44803</v>
      </c>
      <c r="AI51" s="134" t="s">
        <v>100</v>
      </c>
      <c r="AJ51" s="135" t="s">
        <v>100</v>
      </c>
      <c r="AK51" s="136" t="s">
        <v>100</v>
      </c>
      <c r="AL51" s="137" t="s">
        <v>22</v>
      </c>
      <c r="AM51" s="120">
        <f t="shared" si="9"/>
        <v>666</v>
      </c>
      <c r="AN51" s="138" t="s">
        <v>100</v>
      </c>
    </row>
    <row r="52" spans="1:40" ht="39.950000000000003" customHeight="1" x14ac:dyDescent="0.25">
      <c r="A52" s="151">
        <f t="shared" si="7"/>
        <v>40</v>
      </c>
      <c r="B52" s="110">
        <f>'2DEMOGRAPHICS'!B52</f>
        <v>40</v>
      </c>
      <c r="C52" s="111" t="str">
        <f>'2DEMOGRAPHICS'!C52</f>
        <v>aaaaa11111aaaaa</v>
      </c>
      <c r="D52" s="112">
        <f>'2DEMOGRAPHICS'!D52</f>
        <v>44166</v>
      </c>
      <c r="E52" s="113">
        <f>'2DEMOGRAPHICS'!E52</f>
        <v>44170</v>
      </c>
      <c r="F52" s="138" t="s">
        <v>104</v>
      </c>
      <c r="G52" s="158">
        <f t="shared" si="3"/>
        <v>44200</v>
      </c>
      <c r="H52" s="129" t="s">
        <v>104</v>
      </c>
      <c r="I52" s="149" t="s">
        <v>104</v>
      </c>
      <c r="J52" s="131" t="s">
        <v>104</v>
      </c>
      <c r="K52" s="150" t="s">
        <v>22</v>
      </c>
      <c r="L52" s="156">
        <f t="shared" si="4"/>
        <v>44230</v>
      </c>
      <c r="M52" s="146" t="s">
        <v>104</v>
      </c>
      <c r="N52" s="147" t="s">
        <v>104</v>
      </c>
      <c r="O52" s="154" t="s">
        <v>104</v>
      </c>
      <c r="P52" s="148" t="s">
        <v>22</v>
      </c>
      <c r="Q52" s="138" t="s">
        <v>104</v>
      </c>
      <c r="R52" s="159">
        <f t="shared" si="5"/>
        <v>44260</v>
      </c>
      <c r="S52" s="143" t="s">
        <v>104</v>
      </c>
      <c r="T52" s="144" t="s">
        <v>104</v>
      </c>
      <c r="U52" s="153" t="s">
        <v>104</v>
      </c>
      <c r="V52" s="145" t="s">
        <v>22</v>
      </c>
      <c r="W52" s="138" t="s">
        <v>104</v>
      </c>
      <c r="X52" s="160">
        <f t="shared" si="6"/>
        <v>44353</v>
      </c>
      <c r="Y52" s="139" t="s">
        <v>104</v>
      </c>
      <c r="Z52" s="140" t="s">
        <v>104</v>
      </c>
      <c r="AA52" s="152" t="s">
        <v>104</v>
      </c>
      <c r="AB52" s="141" t="s">
        <v>22</v>
      </c>
      <c r="AC52" s="161">
        <f t="shared" si="8"/>
        <v>44535</v>
      </c>
      <c r="AD52" s="129" t="s">
        <v>104</v>
      </c>
      <c r="AE52" s="130" t="s">
        <v>104</v>
      </c>
      <c r="AF52" s="131" t="s">
        <v>104</v>
      </c>
      <c r="AG52" s="132" t="s">
        <v>22</v>
      </c>
      <c r="AH52" s="133">
        <v>44803</v>
      </c>
      <c r="AI52" s="134" t="s">
        <v>104</v>
      </c>
      <c r="AJ52" s="135" t="s">
        <v>104</v>
      </c>
      <c r="AK52" s="136" t="s">
        <v>104</v>
      </c>
      <c r="AL52" s="137" t="s">
        <v>22</v>
      </c>
      <c r="AM52" s="120">
        <f t="shared" si="9"/>
        <v>633</v>
      </c>
      <c r="AN52" s="138" t="s">
        <v>104</v>
      </c>
    </row>
    <row r="53" spans="1:40" ht="39.950000000000003" customHeight="1" x14ac:dyDescent="0.25">
      <c r="A53" s="151">
        <f t="shared" si="7"/>
        <v>41</v>
      </c>
      <c r="B53" s="110">
        <f>'2DEMOGRAPHICS'!B53</f>
        <v>41</v>
      </c>
      <c r="C53" s="111" t="str">
        <f>'2DEMOGRAPHICS'!C53</f>
        <v>aaaaa11111aaaaa</v>
      </c>
      <c r="D53" s="112">
        <f>'2DEMOGRAPHICS'!D53</f>
        <v>44197</v>
      </c>
      <c r="E53" s="113">
        <f>'2DEMOGRAPHICS'!E53</f>
        <v>44201</v>
      </c>
      <c r="F53" s="138" t="s">
        <v>100</v>
      </c>
      <c r="G53" s="158">
        <f t="shared" si="3"/>
        <v>44231</v>
      </c>
      <c r="H53" s="129" t="s">
        <v>100</v>
      </c>
      <c r="I53" s="149" t="s">
        <v>100</v>
      </c>
      <c r="J53" s="131" t="s">
        <v>100</v>
      </c>
      <c r="K53" s="150" t="s">
        <v>22</v>
      </c>
      <c r="L53" s="156">
        <f t="shared" si="4"/>
        <v>44261</v>
      </c>
      <c r="M53" s="146" t="s">
        <v>100</v>
      </c>
      <c r="N53" s="147" t="s">
        <v>100</v>
      </c>
      <c r="O53" s="154" t="s">
        <v>100</v>
      </c>
      <c r="P53" s="148" t="s">
        <v>22</v>
      </c>
      <c r="Q53" s="138" t="s">
        <v>100</v>
      </c>
      <c r="R53" s="159">
        <f t="shared" si="5"/>
        <v>44291</v>
      </c>
      <c r="S53" s="143" t="s">
        <v>100</v>
      </c>
      <c r="T53" s="144" t="s">
        <v>100</v>
      </c>
      <c r="U53" s="153" t="s">
        <v>100</v>
      </c>
      <c r="V53" s="145" t="s">
        <v>22</v>
      </c>
      <c r="W53" s="138" t="s">
        <v>100</v>
      </c>
      <c r="X53" s="160">
        <f t="shared" si="6"/>
        <v>44384</v>
      </c>
      <c r="Y53" s="139" t="s">
        <v>100</v>
      </c>
      <c r="Z53" s="140" t="s">
        <v>100</v>
      </c>
      <c r="AA53" s="152" t="s">
        <v>100</v>
      </c>
      <c r="AB53" s="141" t="s">
        <v>22</v>
      </c>
      <c r="AC53" s="161">
        <f t="shared" si="8"/>
        <v>44566</v>
      </c>
      <c r="AD53" s="129" t="s">
        <v>100</v>
      </c>
      <c r="AE53" s="130" t="s">
        <v>100</v>
      </c>
      <c r="AF53" s="131" t="s">
        <v>100</v>
      </c>
      <c r="AG53" s="132" t="s">
        <v>22</v>
      </c>
      <c r="AH53" s="133">
        <v>44803</v>
      </c>
      <c r="AI53" s="134" t="s">
        <v>100</v>
      </c>
      <c r="AJ53" s="135" t="s">
        <v>100</v>
      </c>
      <c r="AK53" s="136" t="s">
        <v>100</v>
      </c>
      <c r="AL53" s="137" t="s">
        <v>22</v>
      </c>
      <c r="AM53" s="120">
        <f t="shared" si="9"/>
        <v>602</v>
      </c>
      <c r="AN53" s="138" t="s">
        <v>100</v>
      </c>
    </row>
    <row r="54" spans="1:40" ht="39.950000000000003" customHeight="1" x14ac:dyDescent="0.25">
      <c r="A54" s="151">
        <f t="shared" si="7"/>
        <v>42</v>
      </c>
      <c r="B54" s="110">
        <f>'2DEMOGRAPHICS'!B54</f>
        <v>42</v>
      </c>
      <c r="C54" s="111" t="str">
        <f>'2DEMOGRAPHICS'!C54</f>
        <v>aaaaa11111aaaaa</v>
      </c>
      <c r="D54" s="112">
        <f>'2DEMOGRAPHICS'!D54</f>
        <v>44228</v>
      </c>
      <c r="E54" s="113">
        <f>'2DEMOGRAPHICS'!E54</f>
        <v>44230</v>
      </c>
      <c r="F54" s="138" t="s">
        <v>104</v>
      </c>
      <c r="G54" s="158">
        <f t="shared" si="3"/>
        <v>44260</v>
      </c>
      <c r="H54" s="129" t="s">
        <v>104</v>
      </c>
      <c r="I54" s="149" t="s">
        <v>104</v>
      </c>
      <c r="J54" s="131" t="s">
        <v>104</v>
      </c>
      <c r="K54" s="150" t="s">
        <v>22</v>
      </c>
      <c r="L54" s="156">
        <f t="shared" si="4"/>
        <v>44290</v>
      </c>
      <c r="M54" s="146" t="s">
        <v>104</v>
      </c>
      <c r="N54" s="147" t="s">
        <v>104</v>
      </c>
      <c r="O54" s="154" t="s">
        <v>104</v>
      </c>
      <c r="P54" s="148" t="s">
        <v>22</v>
      </c>
      <c r="Q54" s="138" t="s">
        <v>104</v>
      </c>
      <c r="R54" s="159">
        <f t="shared" si="5"/>
        <v>44320</v>
      </c>
      <c r="S54" s="143" t="s">
        <v>104</v>
      </c>
      <c r="T54" s="144" t="s">
        <v>104</v>
      </c>
      <c r="U54" s="153" t="s">
        <v>104</v>
      </c>
      <c r="V54" s="145" t="s">
        <v>22</v>
      </c>
      <c r="W54" s="138" t="s">
        <v>104</v>
      </c>
      <c r="X54" s="160">
        <f t="shared" si="6"/>
        <v>44413</v>
      </c>
      <c r="Y54" s="139" t="s">
        <v>104</v>
      </c>
      <c r="Z54" s="140" t="s">
        <v>104</v>
      </c>
      <c r="AA54" s="152" t="s">
        <v>104</v>
      </c>
      <c r="AB54" s="141" t="s">
        <v>22</v>
      </c>
      <c r="AC54" s="161">
        <f t="shared" si="8"/>
        <v>44595</v>
      </c>
      <c r="AD54" s="129" t="s">
        <v>104</v>
      </c>
      <c r="AE54" s="130" t="s">
        <v>104</v>
      </c>
      <c r="AF54" s="131" t="s">
        <v>104</v>
      </c>
      <c r="AG54" s="132" t="s">
        <v>22</v>
      </c>
      <c r="AH54" s="133">
        <v>44803</v>
      </c>
      <c r="AI54" s="134" t="s">
        <v>104</v>
      </c>
      <c r="AJ54" s="135" t="s">
        <v>104</v>
      </c>
      <c r="AK54" s="136" t="s">
        <v>104</v>
      </c>
      <c r="AL54" s="137" t="s">
        <v>22</v>
      </c>
      <c r="AM54" s="120">
        <f t="shared" si="9"/>
        <v>573</v>
      </c>
      <c r="AN54" s="138" t="s">
        <v>104</v>
      </c>
    </row>
    <row r="55" spans="1:40" ht="39.950000000000003" customHeight="1" x14ac:dyDescent="0.25">
      <c r="A55" s="151">
        <f t="shared" si="7"/>
        <v>43</v>
      </c>
      <c r="B55" s="110">
        <f>'2DEMOGRAPHICS'!B55</f>
        <v>43</v>
      </c>
      <c r="C55" s="111" t="str">
        <f>'2DEMOGRAPHICS'!C55</f>
        <v>aaaaa11111aaaaa</v>
      </c>
      <c r="D55" s="112">
        <f>'2DEMOGRAPHICS'!D55</f>
        <v>44256</v>
      </c>
      <c r="E55" s="113">
        <f>'2DEMOGRAPHICS'!E55</f>
        <v>44259</v>
      </c>
      <c r="F55" s="138" t="s">
        <v>100</v>
      </c>
      <c r="G55" s="158">
        <f t="shared" si="3"/>
        <v>44289</v>
      </c>
      <c r="H55" s="129" t="s">
        <v>100</v>
      </c>
      <c r="I55" s="149" t="s">
        <v>100</v>
      </c>
      <c r="J55" s="131" t="s">
        <v>100</v>
      </c>
      <c r="K55" s="150" t="s">
        <v>22</v>
      </c>
      <c r="L55" s="156">
        <f t="shared" si="4"/>
        <v>44319</v>
      </c>
      <c r="M55" s="146" t="s">
        <v>100</v>
      </c>
      <c r="N55" s="147" t="s">
        <v>100</v>
      </c>
      <c r="O55" s="154" t="s">
        <v>100</v>
      </c>
      <c r="P55" s="148" t="s">
        <v>22</v>
      </c>
      <c r="Q55" s="138" t="s">
        <v>100</v>
      </c>
      <c r="R55" s="159">
        <f t="shared" si="5"/>
        <v>44349</v>
      </c>
      <c r="S55" s="143" t="s">
        <v>100</v>
      </c>
      <c r="T55" s="144" t="s">
        <v>100</v>
      </c>
      <c r="U55" s="153" t="s">
        <v>100</v>
      </c>
      <c r="V55" s="145" t="s">
        <v>22</v>
      </c>
      <c r="W55" s="138" t="s">
        <v>100</v>
      </c>
      <c r="X55" s="160">
        <f t="shared" si="6"/>
        <v>44442</v>
      </c>
      <c r="Y55" s="139" t="s">
        <v>100</v>
      </c>
      <c r="Z55" s="140" t="s">
        <v>100</v>
      </c>
      <c r="AA55" s="152" t="s">
        <v>100</v>
      </c>
      <c r="AB55" s="141" t="s">
        <v>22</v>
      </c>
      <c r="AC55" s="161">
        <f t="shared" si="8"/>
        <v>44624</v>
      </c>
      <c r="AD55" s="129" t="s">
        <v>100</v>
      </c>
      <c r="AE55" s="130" t="s">
        <v>100</v>
      </c>
      <c r="AF55" s="131" t="s">
        <v>100</v>
      </c>
      <c r="AG55" s="132" t="s">
        <v>22</v>
      </c>
      <c r="AH55" s="133">
        <v>44803</v>
      </c>
      <c r="AI55" s="134" t="s">
        <v>100</v>
      </c>
      <c r="AJ55" s="135" t="s">
        <v>100</v>
      </c>
      <c r="AK55" s="136" t="s">
        <v>100</v>
      </c>
      <c r="AL55" s="137" t="s">
        <v>22</v>
      </c>
      <c r="AM55" s="120">
        <f t="shared" si="9"/>
        <v>544</v>
      </c>
      <c r="AN55" s="138" t="s">
        <v>100</v>
      </c>
    </row>
    <row r="56" spans="1:40" ht="39.950000000000003" customHeight="1" x14ac:dyDescent="0.25">
      <c r="A56" s="151">
        <f t="shared" si="7"/>
        <v>44</v>
      </c>
      <c r="B56" s="110">
        <f>'2DEMOGRAPHICS'!B56</f>
        <v>44</v>
      </c>
      <c r="C56" s="111" t="str">
        <f>'2DEMOGRAPHICS'!C56</f>
        <v>aaaaa11111aaaaa</v>
      </c>
      <c r="D56" s="112">
        <f>'2DEMOGRAPHICS'!D56</f>
        <v>44287</v>
      </c>
      <c r="E56" s="113">
        <f>'2DEMOGRAPHICS'!E56</f>
        <v>44291</v>
      </c>
      <c r="F56" s="138" t="s">
        <v>104</v>
      </c>
      <c r="G56" s="158">
        <f t="shared" si="3"/>
        <v>44321</v>
      </c>
      <c r="H56" s="129" t="s">
        <v>104</v>
      </c>
      <c r="I56" s="149" t="s">
        <v>104</v>
      </c>
      <c r="J56" s="131" t="s">
        <v>104</v>
      </c>
      <c r="K56" s="150" t="s">
        <v>22</v>
      </c>
      <c r="L56" s="156">
        <f t="shared" si="4"/>
        <v>44351</v>
      </c>
      <c r="M56" s="146" t="s">
        <v>104</v>
      </c>
      <c r="N56" s="147" t="s">
        <v>104</v>
      </c>
      <c r="O56" s="154" t="s">
        <v>104</v>
      </c>
      <c r="P56" s="148" t="s">
        <v>22</v>
      </c>
      <c r="Q56" s="138" t="s">
        <v>104</v>
      </c>
      <c r="R56" s="159">
        <f t="shared" si="5"/>
        <v>44381</v>
      </c>
      <c r="S56" s="143" t="s">
        <v>104</v>
      </c>
      <c r="T56" s="144" t="s">
        <v>104</v>
      </c>
      <c r="U56" s="153" t="s">
        <v>104</v>
      </c>
      <c r="V56" s="145" t="s">
        <v>22</v>
      </c>
      <c r="W56" s="138" t="s">
        <v>104</v>
      </c>
      <c r="X56" s="160">
        <f t="shared" si="6"/>
        <v>44474</v>
      </c>
      <c r="Y56" s="139" t="s">
        <v>104</v>
      </c>
      <c r="Z56" s="140" t="s">
        <v>104</v>
      </c>
      <c r="AA56" s="152" t="s">
        <v>104</v>
      </c>
      <c r="AB56" s="141" t="s">
        <v>22</v>
      </c>
      <c r="AC56" s="161">
        <f t="shared" si="8"/>
        <v>44656</v>
      </c>
      <c r="AD56" s="129" t="s">
        <v>104</v>
      </c>
      <c r="AE56" s="130" t="s">
        <v>104</v>
      </c>
      <c r="AF56" s="131" t="s">
        <v>104</v>
      </c>
      <c r="AG56" s="132" t="s">
        <v>22</v>
      </c>
      <c r="AH56" s="133">
        <v>44803</v>
      </c>
      <c r="AI56" s="134" t="s">
        <v>104</v>
      </c>
      <c r="AJ56" s="135" t="s">
        <v>104</v>
      </c>
      <c r="AK56" s="136" t="s">
        <v>104</v>
      </c>
      <c r="AL56" s="137" t="s">
        <v>22</v>
      </c>
      <c r="AM56" s="120">
        <f t="shared" si="9"/>
        <v>512</v>
      </c>
      <c r="AN56" s="138" t="s">
        <v>104</v>
      </c>
    </row>
    <row r="57" spans="1:40" ht="39.950000000000003" customHeight="1" x14ac:dyDescent="0.25">
      <c r="A57" s="151">
        <f t="shared" si="7"/>
        <v>45</v>
      </c>
      <c r="B57" s="110">
        <f>'2DEMOGRAPHICS'!B57</f>
        <v>45</v>
      </c>
      <c r="C57" s="111" t="str">
        <f>'2DEMOGRAPHICS'!C57</f>
        <v>aaaaa11111aaaaa</v>
      </c>
      <c r="D57" s="112">
        <f>'2DEMOGRAPHICS'!D57</f>
        <v>44317</v>
      </c>
      <c r="E57" s="113">
        <f>'2DEMOGRAPHICS'!E57</f>
        <v>44319</v>
      </c>
      <c r="F57" s="138" t="s">
        <v>100</v>
      </c>
      <c r="G57" s="158">
        <f t="shared" si="3"/>
        <v>44349</v>
      </c>
      <c r="H57" s="129" t="s">
        <v>100</v>
      </c>
      <c r="I57" s="149" t="s">
        <v>100</v>
      </c>
      <c r="J57" s="131" t="s">
        <v>100</v>
      </c>
      <c r="K57" s="150" t="s">
        <v>22</v>
      </c>
      <c r="L57" s="156">
        <f t="shared" si="4"/>
        <v>44379</v>
      </c>
      <c r="M57" s="146" t="s">
        <v>100</v>
      </c>
      <c r="N57" s="147" t="s">
        <v>100</v>
      </c>
      <c r="O57" s="154" t="s">
        <v>100</v>
      </c>
      <c r="P57" s="148" t="s">
        <v>22</v>
      </c>
      <c r="Q57" s="138" t="s">
        <v>100</v>
      </c>
      <c r="R57" s="159">
        <f t="shared" si="5"/>
        <v>44409</v>
      </c>
      <c r="S57" s="143" t="s">
        <v>100</v>
      </c>
      <c r="T57" s="144" t="s">
        <v>100</v>
      </c>
      <c r="U57" s="153" t="s">
        <v>100</v>
      </c>
      <c r="V57" s="145" t="s">
        <v>22</v>
      </c>
      <c r="W57" s="138" t="s">
        <v>100</v>
      </c>
      <c r="X57" s="160">
        <f t="shared" si="6"/>
        <v>44502</v>
      </c>
      <c r="Y57" s="139" t="s">
        <v>100</v>
      </c>
      <c r="Z57" s="140" t="s">
        <v>100</v>
      </c>
      <c r="AA57" s="152" t="s">
        <v>100</v>
      </c>
      <c r="AB57" s="141" t="s">
        <v>22</v>
      </c>
      <c r="AC57" s="161">
        <f t="shared" si="8"/>
        <v>44684</v>
      </c>
      <c r="AD57" s="129" t="s">
        <v>100</v>
      </c>
      <c r="AE57" s="130" t="s">
        <v>100</v>
      </c>
      <c r="AF57" s="131" t="s">
        <v>100</v>
      </c>
      <c r="AG57" s="132" t="s">
        <v>22</v>
      </c>
      <c r="AH57" s="133">
        <v>44803</v>
      </c>
      <c r="AI57" s="134" t="s">
        <v>100</v>
      </c>
      <c r="AJ57" s="135" t="s">
        <v>100</v>
      </c>
      <c r="AK57" s="136" t="s">
        <v>100</v>
      </c>
      <c r="AL57" s="137" t="s">
        <v>22</v>
      </c>
      <c r="AM57" s="120">
        <f t="shared" si="9"/>
        <v>484</v>
      </c>
      <c r="AN57" s="138" t="s">
        <v>100</v>
      </c>
    </row>
    <row r="58" spans="1:40" ht="39.950000000000003" customHeight="1" x14ac:dyDescent="0.25">
      <c r="A58" s="151">
        <f t="shared" si="7"/>
        <v>46</v>
      </c>
      <c r="B58" s="110">
        <f>'2DEMOGRAPHICS'!B58</f>
        <v>46</v>
      </c>
      <c r="C58" s="111" t="str">
        <f>'2DEMOGRAPHICS'!C58</f>
        <v>aaaaa11111aaaaa</v>
      </c>
      <c r="D58" s="112">
        <f>'2DEMOGRAPHICS'!D58</f>
        <v>44348</v>
      </c>
      <c r="E58" s="113">
        <f>'2DEMOGRAPHICS'!E58</f>
        <v>44351</v>
      </c>
      <c r="F58" s="138" t="s">
        <v>104</v>
      </c>
      <c r="G58" s="158">
        <f t="shared" si="3"/>
        <v>44381</v>
      </c>
      <c r="H58" s="129" t="s">
        <v>104</v>
      </c>
      <c r="I58" s="149" t="s">
        <v>104</v>
      </c>
      <c r="J58" s="131" t="s">
        <v>104</v>
      </c>
      <c r="K58" s="150" t="s">
        <v>22</v>
      </c>
      <c r="L58" s="156">
        <f t="shared" si="4"/>
        <v>44411</v>
      </c>
      <c r="M58" s="146" t="s">
        <v>104</v>
      </c>
      <c r="N58" s="147" t="s">
        <v>104</v>
      </c>
      <c r="O58" s="154" t="s">
        <v>104</v>
      </c>
      <c r="P58" s="148" t="s">
        <v>22</v>
      </c>
      <c r="Q58" s="138" t="s">
        <v>104</v>
      </c>
      <c r="R58" s="159">
        <f t="shared" si="5"/>
        <v>44441</v>
      </c>
      <c r="S58" s="143" t="s">
        <v>104</v>
      </c>
      <c r="T58" s="144" t="s">
        <v>104</v>
      </c>
      <c r="U58" s="153" t="s">
        <v>104</v>
      </c>
      <c r="V58" s="145" t="s">
        <v>22</v>
      </c>
      <c r="W58" s="138" t="s">
        <v>104</v>
      </c>
      <c r="X58" s="160">
        <f t="shared" si="6"/>
        <v>44534</v>
      </c>
      <c r="Y58" s="139" t="s">
        <v>104</v>
      </c>
      <c r="Z58" s="140" t="s">
        <v>104</v>
      </c>
      <c r="AA58" s="152" t="s">
        <v>104</v>
      </c>
      <c r="AB58" s="141" t="s">
        <v>22</v>
      </c>
      <c r="AC58" s="161">
        <f t="shared" si="8"/>
        <v>44716</v>
      </c>
      <c r="AD58" s="129" t="s">
        <v>104</v>
      </c>
      <c r="AE58" s="130" t="s">
        <v>104</v>
      </c>
      <c r="AF58" s="131" t="s">
        <v>104</v>
      </c>
      <c r="AG58" s="132" t="s">
        <v>22</v>
      </c>
      <c r="AH58" s="133">
        <v>44803</v>
      </c>
      <c r="AI58" s="134" t="s">
        <v>104</v>
      </c>
      <c r="AJ58" s="135" t="s">
        <v>104</v>
      </c>
      <c r="AK58" s="136" t="s">
        <v>104</v>
      </c>
      <c r="AL58" s="137" t="s">
        <v>22</v>
      </c>
      <c r="AM58" s="120">
        <f t="shared" si="9"/>
        <v>452</v>
      </c>
      <c r="AN58" s="138" t="s">
        <v>104</v>
      </c>
    </row>
    <row r="59" spans="1:40" ht="39.950000000000003" customHeight="1" x14ac:dyDescent="0.25">
      <c r="A59" s="151">
        <f t="shared" si="7"/>
        <v>47</v>
      </c>
      <c r="B59" s="110">
        <f>'2DEMOGRAPHICS'!B59</f>
        <v>47</v>
      </c>
      <c r="C59" s="111" t="str">
        <f>'2DEMOGRAPHICS'!C59</f>
        <v>aaaaa11111aaaaa</v>
      </c>
      <c r="D59" s="112">
        <f>'2DEMOGRAPHICS'!D59</f>
        <v>44378</v>
      </c>
      <c r="E59" s="113">
        <f>'2DEMOGRAPHICS'!E59</f>
        <v>44379</v>
      </c>
      <c r="F59" s="138" t="s">
        <v>100</v>
      </c>
      <c r="G59" s="158">
        <f t="shared" si="3"/>
        <v>44409</v>
      </c>
      <c r="H59" s="129" t="s">
        <v>100</v>
      </c>
      <c r="I59" s="149" t="s">
        <v>100</v>
      </c>
      <c r="J59" s="131" t="s">
        <v>100</v>
      </c>
      <c r="K59" s="150" t="s">
        <v>22</v>
      </c>
      <c r="L59" s="156">
        <f t="shared" si="4"/>
        <v>44439</v>
      </c>
      <c r="M59" s="146" t="s">
        <v>100</v>
      </c>
      <c r="N59" s="147" t="s">
        <v>100</v>
      </c>
      <c r="O59" s="154" t="s">
        <v>100</v>
      </c>
      <c r="P59" s="148" t="s">
        <v>22</v>
      </c>
      <c r="Q59" s="138" t="s">
        <v>100</v>
      </c>
      <c r="R59" s="159">
        <f t="shared" si="5"/>
        <v>44469</v>
      </c>
      <c r="S59" s="143" t="s">
        <v>100</v>
      </c>
      <c r="T59" s="144" t="s">
        <v>100</v>
      </c>
      <c r="U59" s="153" t="s">
        <v>100</v>
      </c>
      <c r="V59" s="145" t="s">
        <v>22</v>
      </c>
      <c r="W59" s="138" t="s">
        <v>100</v>
      </c>
      <c r="X59" s="160">
        <f t="shared" si="6"/>
        <v>44562</v>
      </c>
      <c r="Y59" s="139" t="s">
        <v>100</v>
      </c>
      <c r="Z59" s="140" t="s">
        <v>100</v>
      </c>
      <c r="AA59" s="152" t="s">
        <v>100</v>
      </c>
      <c r="AB59" s="141" t="s">
        <v>22</v>
      </c>
      <c r="AC59" s="161">
        <f t="shared" si="8"/>
        <v>44744</v>
      </c>
      <c r="AD59" s="129" t="s">
        <v>100</v>
      </c>
      <c r="AE59" s="130" t="s">
        <v>100</v>
      </c>
      <c r="AF59" s="131" t="s">
        <v>100</v>
      </c>
      <c r="AG59" s="132" t="s">
        <v>22</v>
      </c>
      <c r="AH59" s="133">
        <v>44803</v>
      </c>
      <c r="AI59" s="134" t="s">
        <v>100</v>
      </c>
      <c r="AJ59" s="135" t="s">
        <v>100</v>
      </c>
      <c r="AK59" s="136" t="s">
        <v>100</v>
      </c>
      <c r="AL59" s="137" t="s">
        <v>22</v>
      </c>
      <c r="AM59" s="120">
        <f t="shared" si="9"/>
        <v>424</v>
      </c>
      <c r="AN59" s="138" t="s">
        <v>100</v>
      </c>
    </row>
    <row r="60" spans="1:40" ht="39.950000000000003" customHeight="1" x14ac:dyDescent="0.25">
      <c r="A60" s="151">
        <f t="shared" si="7"/>
        <v>48</v>
      </c>
      <c r="B60" s="110">
        <f>'2DEMOGRAPHICS'!B60</f>
        <v>48</v>
      </c>
      <c r="C60" s="111" t="str">
        <f>'2DEMOGRAPHICS'!C60</f>
        <v>aaaaa11111aaaaa</v>
      </c>
      <c r="D60" s="112">
        <f>'2DEMOGRAPHICS'!D60</f>
        <v>44409</v>
      </c>
      <c r="E60" s="113">
        <f>'2DEMOGRAPHICS'!E60</f>
        <v>44412</v>
      </c>
      <c r="F60" s="138" t="s">
        <v>104</v>
      </c>
      <c r="G60" s="158">
        <f t="shared" si="3"/>
        <v>44442</v>
      </c>
      <c r="H60" s="129" t="s">
        <v>104</v>
      </c>
      <c r="I60" s="149" t="s">
        <v>104</v>
      </c>
      <c r="J60" s="131" t="s">
        <v>104</v>
      </c>
      <c r="K60" s="150" t="s">
        <v>22</v>
      </c>
      <c r="L60" s="156">
        <f t="shared" si="4"/>
        <v>44472</v>
      </c>
      <c r="M60" s="146" t="s">
        <v>104</v>
      </c>
      <c r="N60" s="147" t="s">
        <v>104</v>
      </c>
      <c r="O60" s="154" t="s">
        <v>104</v>
      </c>
      <c r="P60" s="148" t="s">
        <v>22</v>
      </c>
      <c r="Q60" s="138" t="s">
        <v>104</v>
      </c>
      <c r="R60" s="159">
        <f t="shared" si="5"/>
        <v>44502</v>
      </c>
      <c r="S60" s="143" t="s">
        <v>104</v>
      </c>
      <c r="T60" s="144" t="s">
        <v>104</v>
      </c>
      <c r="U60" s="153" t="s">
        <v>104</v>
      </c>
      <c r="V60" s="145" t="s">
        <v>22</v>
      </c>
      <c r="W60" s="138" t="s">
        <v>104</v>
      </c>
      <c r="X60" s="160">
        <f t="shared" si="6"/>
        <v>44595</v>
      </c>
      <c r="Y60" s="139" t="s">
        <v>104</v>
      </c>
      <c r="Z60" s="140" t="s">
        <v>104</v>
      </c>
      <c r="AA60" s="152" t="s">
        <v>104</v>
      </c>
      <c r="AB60" s="141" t="s">
        <v>22</v>
      </c>
      <c r="AC60" s="161">
        <f t="shared" si="8"/>
        <v>44777</v>
      </c>
      <c r="AD60" s="129" t="s">
        <v>104</v>
      </c>
      <c r="AE60" s="130" t="s">
        <v>104</v>
      </c>
      <c r="AF60" s="131" t="s">
        <v>104</v>
      </c>
      <c r="AG60" s="132" t="s">
        <v>22</v>
      </c>
      <c r="AH60" s="133">
        <v>44803</v>
      </c>
      <c r="AI60" s="134" t="s">
        <v>104</v>
      </c>
      <c r="AJ60" s="135" t="s">
        <v>104</v>
      </c>
      <c r="AK60" s="136" t="s">
        <v>104</v>
      </c>
      <c r="AL60" s="137" t="s">
        <v>22</v>
      </c>
      <c r="AM60" s="120">
        <f t="shared" si="9"/>
        <v>391</v>
      </c>
      <c r="AN60" s="138" t="s">
        <v>104</v>
      </c>
    </row>
    <row r="61" spans="1:40" ht="39.950000000000003" customHeight="1" x14ac:dyDescent="0.25">
      <c r="A61" s="151">
        <f t="shared" si="7"/>
        <v>49</v>
      </c>
      <c r="B61" s="110">
        <f>'2DEMOGRAPHICS'!B61</f>
        <v>49</v>
      </c>
      <c r="C61" s="111" t="str">
        <f>'2DEMOGRAPHICS'!C61</f>
        <v>aaaaa11111aaaaa</v>
      </c>
      <c r="D61" s="112">
        <f>'2DEMOGRAPHICS'!D61</f>
        <v>44075</v>
      </c>
      <c r="E61" s="113">
        <f>'2DEMOGRAPHICS'!E61</f>
        <v>44076</v>
      </c>
      <c r="F61" s="138" t="s">
        <v>100</v>
      </c>
      <c r="G61" s="158">
        <f t="shared" si="3"/>
        <v>44106</v>
      </c>
      <c r="H61" s="129" t="s">
        <v>100</v>
      </c>
      <c r="I61" s="149" t="s">
        <v>100</v>
      </c>
      <c r="J61" s="131" t="s">
        <v>100</v>
      </c>
      <c r="K61" s="150" t="s">
        <v>22</v>
      </c>
      <c r="L61" s="156">
        <f t="shared" si="4"/>
        <v>44136</v>
      </c>
      <c r="M61" s="146" t="s">
        <v>100</v>
      </c>
      <c r="N61" s="147" t="s">
        <v>100</v>
      </c>
      <c r="O61" s="154" t="s">
        <v>100</v>
      </c>
      <c r="P61" s="148" t="s">
        <v>22</v>
      </c>
      <c r="Q61" s="138" t="s">
        <v>100</v>
      </c>
      <c r="R61" s="159">
        <f t="shared" si="5"/>
        <v>44166</v>
      </c>
      <c r="S61" s="143" t="s">
        <v>100</v>
      </c>
      <c r="T61" s="144" t="s">
        <v>100</v>
      </c>
      <c r="U61" s="153" t="s">
        <v>100</v>
      </c>
      <c r="V61" s="145" t="s">
        <v>22</v>
      </c>
      <c r="W61" s="138" t="s">
        <v>100</v>
      </c>
      <c r="X61" s="160">
        <f t="shared" si="6"/>
        <v>44259</v>
      </c>
      <c r="Y61" s="139" t="s">
        <v>100</v>
      </c>
      <c r="Z61" s="140" t="s">
        <v>100</v>
      </c>
      <c r="AA61" s="152" t="s">
        <v>100</v>
      </c>
      <c r="AB61" s="141" t="s">
        <v>22</v>
      </c>
      <c r="AC61" s="161">
        <f t="shared" si="8"/>
        <v>44441</v>
      </c>
      <c r="AD61" s="129" t="s">
        <v>100</v>
      </c>
      <c r="AE61" s="130" t="s">
        <v>100</v>
      </c>
      <c r="AF61" s="131" t="s">
        <v>100</v>
      </c>
      <c r="AG61" s="132" t="s">
        <v>22</v>
      </c>
      <c r="AH61" s="133">
        <v>44803</v>
      </c>
      <c r="AI61" s="134" t="s">
        <v>100</v>
      </c>
      <c r="AJ61" s="135" t="s">
        <v>100</v>
      </c>
      <c r="AK61" s="136" t="s">
        <v>100</v>
      </c>
      <c r="AL61" s="137" t="s">
        <v>22</v>
      </c>
      <c r="AM61" s="120">
        <f t="shared" si="9"/>
        <v>727</v>
      </c>
      <c r="AN61" s="138" t="s">
        <v>100</v>
      </c>
    </row>
    <row r="62" spans="1:40" ht="39.950000000000003" customHeight="1" x14ac:dyDescent="0.25">
      <c r="A62" s="151">
        <f t="shared" si="7"/>
        <v>50</v>
      </c>
      <c r="B62" s="110">
        <f>'2DEMOGRAPHICS'!B62</f>
        <v>50</v>
      </c>
      <c r="C62" s="111" t="str">
        <f>'2DEMOGRAPHICS'!C62</f>
        <v>aaaaa11111aaaaa</v>
      </c>
      <c r="D62" s="112">
        <f>'2DEMOGRAPHICS'!D62</f>
        <v>44105</v>
      </c>
      <c r="E62" s="113">
        <f>'2DEMOGRAPHICS'!E62</f>
        <v>44139</v>
      </c>
      <c r="F62" s="138" t="s">
        <v>104</v>
      </c>
      <c r="G62" s="158">
        <f t="shared" si="3"/>
        <v>44169</v>
      </c>
      <c r="H62" s="129" t="s">
        <v>104</v>
      </c>
      <c r="I62" s="149" t="s">
        <v>104</v>
      </c>
      <c r="J62" s="131" t="s">
        <v>104</v>
      </c>
      <c r="K62" s="150" t="s">
        <v>22</v>
      </c>
      <c r="L62" s="156">
        <f t="shared" si="4"/>
        <v>44199</v>
      </c>
      <c r="M62" s="146" t="s">
        <v>104</v>
      </c>
      <c r="N62" s="147" t="s">
        <v>104</v>
      </c>
      <c r="O62" s="154" t="s">
        <v>104</v>
      </c>
      <c r="P62" s="148" t="s">
        <v>22</v>
      </c>
      <c r="Q62" s="138" t="s">
        <v>104</v>
      </c>
      <c r="R62" s="159">
        <f t="shared" si="5"/>
        <v>44229</v>
      </c>
      <c r="S62" s="143" t="s">
        <v>104</v>
      </c>
      <c r="T62" s="144" t="s">
        <v>104</v>
      </c>
      <c r="U62" s="153" t="s">
        <v>104</v>
      </c>
      <c r="V62" s="145" t="s">
        <v>22</v>
      </c>
      <c r="W62" s="138" t="s">
        <v>104</v>
      </c>
      <c r="X62" s="160">
        <f t="shared" si="6"/>
        <v>44322</v>
      </c>
      <c r="Y62" s="139" t="s">
        <v>104</v>
      </c>
      <c r="Z62" s="140" t="s">
        <v>104</v>
      </c>
      <c r="AA62" s="152" t="s">
        <v>104</v>
      </c>
      <c r="AB62" s="141" t="s">
        <v>22</v>
      </c>
      <c r="AC62" s="161">
        <f t="shared" si="8"/>
        <v>44504</v>
      </c>
      <c r="AD62" s="129" t="s">
        <v>104</v>
      </c>
      <c r="AE62" s="130" t="s">
        <v>104</v>
      </c>
      <c r="AF62" s="131" t="s">
        <v>104</v>
      </c>
      <c r="AG62" s="132" t="s">
        <v>22</v>
      </c>
      <c r="AH62" s="133">
        <v>44803</v>
      </c>
      <c r="AI62" s="134" t="s">
        <v>104</v>
      </c>
      <c r="AJ62" s="135" t="s">
        <v>104</v>
      </c>
      <c r="AK62" s="136" t="s">
        <v>104</v>
      </c>
      <c r="AL62" s="137" t="s">
        <v>22</v>
      </c>
      <c r="AM62" s="120">
        <f t="shared" si="9"/>
        <v>664</v>
      </c>
      <c r="AN62" s="138" t="s">
        <v>104</v>
      </c>
    </row>
    <row r="63" spans="1:40" x14ac:dyDescent="0.25">
      <c r="A63" s="10"/>
    </row>
    <row r="64" spans="1:40" x14ac:dyDescent="0.25">
      <c r="A64" s="10"/>
    </row>
    <row r="65" spans="1:1" x14ac:dyDescent="0.25">
      <c r="A65" s="10"/>
    </row>
    <row r="66" spans="1:1" x14ac:dyDescent="0.25">
      <c r="A66" s="10"/>
    </row>
    <row r="67" spans="1:1" x14ac:dyDescent="0.25">
      <c r="A67" s="10"/>
    </row>
    <row r="68" spans="1:1" x14ac:dyDescent="0.25">
      <c r="A68" s="10"/>
    </row>
    <row r="69" spans="1:1" x14ac:dyDescent="0.25">
      <c r="A69" s="10"/>
    </row>
  </sheetData>
  <dataConsolidate/>
  <mergeCells count="24">
    <mergeCell ref="AP2:BC2"/>
    <mergeCell ref="AP3:BC3"/>
    <mergeCell ref="AP4:BC4"/>
    <mergeCell ref="AP5:BC5"/>
    <mergeCell ref="AP6:AS6"/>
    <mergeCell ref="AT6:AW6"/>
    <mergeCell ref="AX6:AZ6"/>
    <mergeCell ref="BA6:BC6"/>
    <mergeCell ref="AP11:BC11"/>
    <mergeCell ref="AP7:AS7"/>
    <mergeCell ref="AT7:AW7"/>
    <mergeCell ref="AX7:AZ7"/>
    <mergeCell ref="BA7:BC7"/>
    <mergeCell ref="AP8:AS9"/>
    <mergeCell ref="AT8:AW9"/>
    <mergeCell ref="AX8:AZ8"/>
    <mergeCell ref="BA8:BC8"/>
    <mergeCell ref="AX9:AZ9"/>
    <mergeCell ref="BA9:BC9"/>
    <mergeCell ref="AP10:AS10"/>
    <mergeCell ref="AT10:AU10"/>
    <mergeCell ref="AV10:AW10"/>
    <mergeCell ref="AX10:AZ10"/>
    <mergeCell ref="BA10:BC10"/>
  </mergeCells>
  <dataValidations count="9">
    <dataValidation allowBlank="1" showInputMessage="1" showErrorMessage="1" prompt="Use MM/DD/YYYY format.  Leave blank until date is needed. " sqref="AH13:AH62" xr:uid="{518FD4FB-607D-4D2C-9D83-674E317216C8}"/>
    <dataValidation allowBlank="1" showInputMessage="1" showErrorMessage="1" prompt="Note Section for Column AE" sqref="AG13:AG62" xr:uid="{853B9F88-9BAC-4133-9DF4-02154FCEFAAC}"/>
    <dataValidation allowBlank="1" showInputMessage="1" showErrorMessage="1" prompt="Note Section for Column Y " sqref="AB13:AB62" xr:uid="{B72DEC97-CF50-49D2-B3AC-A3B8E25C3A34}"/>
    <dataValidation allowBlank="1" showInputMessage="1" showErrorMessage="1" prompt="Note Section for Column T " sqref="V13:V62" xr:uid="{8F93F448-B6CC-4289-9C55-547D8439F51D}"/>
    <dataValidation allowBlank="1" showInputMessage="1" showErrorMessage="1" prompt="Note Section for Column O " sqref="P13:P62" xr:uid="{9A98DA31-08CC-4F76-BE58-25925FDC3ACE}"/>
    <dataValidation allowBlank="1" showInputMessage="1" showErrorMessage="1" prompt="Note Section for Column J" sqref="K12:K62" xr:uid="{7A15BE19-AA67-4EA5-B7F6-B1F30DF39A17}"/>
    <dataValidation allowBlank="1" showInputMessage="1" showErrorMessage="1" prompt="Date will auto populate" sqref="D13:E62" xr:uid="{5FAC7441-B589-4813-8D40-87586D2ECE9B}"/>
    <dataValidation allowBlank="1" showInputMessage="1" showErrorMessage="1" prompt="Data will auto populate" sqref="B13:C62" xr:uid="{9A64BD08-3002-4950-B3EA-0AB1D886682A}"/>
    <dataValidation allowBlank="1" showInputMessage="1" showErrorMessage="1" prompt="date will auto populate" sqref="G13:G62 L13:L62 R13:R62 X13:X62 AC13:AC62" xr:uid="{7496E160-912A-4B53-88EE-B338240036DF}"/>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D6CFD78D-00EA-446D-8159-C2D6D401A526}">
          <x14:formula1>
            <xm:f>'Pick List '!$G$15:$G$16</xm:f>
          </x14:formula1>
          <xm:sqref>F13:F62 AN13:AN62 H13:J62 M13:O62 S13:U62 Y13:AA62 AD13:AF62 AI13:AK62 Q13:Q62 W13:W62</xm:sqref>
        </x14:dataValidation>
        <x14:dataValidation type="list" allowBlank="1" showInputMessage="1" showErrorMessage="1" xr:uid="{DFA725A3-118C-4139-84E2-4EFA9C83F244}">
          <x14:formula1>
            <xm:f>'Pick List '!$C$4:$C$9</xm:f>
          </x14:formula1>
          <xm:sqref>AV10</xm:sqref>
        </x14:dataValidation>
        <x14:dataValidation type="list" allowBlank="1" showInputMessage="1" showErrorMessage="1" xr:uid="{58A1F77F-E621-4FFE-AE87-4B0BB7832140}">
          <x14:formula1>
            <xm:f>'Pick List '!$A$4:$A$15</xm:f>
          </x14:formula1>
          <xm:sqref>AT10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29500-3EF7-4B19-934C-1F9D628539C0}">
  <dimension ref="A1"/>
  <sheetViews>
    <sheetView topLeftCell="B1"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F716C-558D-44B9-9191-7C63B170B59B}">
  <sheetPr>
    <tabColor theme="9" tint="-0.499984740745262"/>
  </sheetPr>
  <dimension ref="A1:DE68"/>
  <sheetViews>
    <sheetView workbookViewId="0">
      <pane ySplit="1" topLeftCell="A8" activePane="bottomLeft" state="frozen"/>
      <selection activeCell="D1" sqref="D1"/>
      <selection pane="bottomLeft" activeCell="Z1" sqref="Z1"/>
    </sheetView>
  </sheetViews>
  <sheetFormatPr defaultRowHeight="15" x14ac:dyDescent="0.25"/>
  <cols>
    <col min="1" max="1" width="5.28515625" customWidth="1"/>
    <col min="2" max="2" width="13.85546875" customWidth="1"/>
    <col min="3" max="3" width="10.85546875" customWidth="1"/>
    <col min="4" max="6" width="12.42578125" customWidth="1"/>
    <col min="7" max="7" width="14.28515625" customWidth="1"/>
    <col min="8" max="13" width="14.42578125" customWidth="1"/>
    <col min="14" max="40" width="10.7109375" customWidth="1"/>
    <col min="41" max="43" width="14.42578125" customWidth="1"/>
    <col min="45" max="45" width="11.140625" customWidth="1"/>
    <col min="46" max="46" width="19.28515625" customWidth="1"/>
    <col min="47" max="55" width="17" customWidth="1"/>
  </cols>
  <sheetData>
    <row r="1" spans="1:109" ht="69.95" customHeight="1" x14ac:dyDescent="0.25">
      <c r="A1" s="13" t="s">
        <v>245</v>
      </c>
      <c r="B1" s="98" t="s">
        <v>336</v>
      </c>
      <c r="C1" s="99" t="s">
        <v>337</v>
      </c>
      <c r="D1" s="98" t="s">
        <v>527</v>
      </c>
      <c r="E1" s="665" t="s">
        <v>721</v>
      </c>
      <c r="F1" s="666" t="s">
        <v>720</v>
      </c>
      <c r="G1" s="99" t="s">
        <v>533</v>
      </c>
      <c r="H1" s="692" t="s">
        <v>722</v>
      </c>
      <c r="I1" s="694" t="s">
        <v>723</v>
      </c>
      <c r="J1" s="693" t="s">
        <v>724</v>
      </c>
      <c r="K1" s="694" t="s">
        <v>725</v>
      </c>
      <c r="L1" s="695" t="s">
        <v>749</v>
      </c>
      <c r="M1" s="673" t="s">
        <v>726</v>
      </c>
      <c r="N1" s="657" t="s">
        <v>727</v>
      </c>
      <c r="O1" s="657"/>
      <c r="P1" s="688" t="s">
        <v>728</v>
      </c>
      <c r="Q1" s="688"/>
      <c r="R1" s="657" t="s">
        <v>729</v>
      </c>
      <c r="S1" s="657"/>
      <c r="T1" s="688" t="s">
        <v>730</v>
      </c>
      <c r="U1" s="688"/>
      <c r="V1" s="657" t="s">
        <v>731</v>
      </c>
      <c r="W1" s="657"/>
      <c r="X1" s="688" t="s">
        <v>732</v>
      </c>
      <c r="Y1" s="688"/>
      <c r="Z1" s="657" t="s">
        <v>733</v>
      </c>
      <c r="AA1" s="657"/>
      <c r="AB1" s="688" t="s">
        <v>734</v>
      </c>
      <c r="AC1" s="688"/>
      <c r="AD1" s="657" t="s">
        <v>735</v>
      </c>
      <c r="AE1" s="657"/>
      <c r="AF1" s="688" t="s">
        <v>736</v>
      </c>
      <c r="AG1" s="688"/>
      <c r="AH1" s="657" t="s">
        <v>737</v>
      </c>
      <c r="AI1" s="657"/>
      <c r="AJ1" s="688" t="s">
        <v>738</v>
      </c>
      <c r="AK1" s="729"/>
      <c r="AL1" s="684" t="s">
        <v>739</v>
      </c>
      <c r="AM1" s="684"/>
      <c r="AN1" s="689" t="s">
        <v>740</v>
      </c>
      <c r="AO1" s="685"/>
      <c r="AP1" s="682"/>
      <c r="AQ1" s="679"/>
      <c r="AR1" s="676"/>
      <c r="AT1" s="677"/>
      <c r="AU1" s="678"/>
      <c r="AW1" s="674"/>
      <c r="AX1" s="675"/>
      <c r="AZ1" s="679"/>
      <c r="BA1" s="679"/>
      <c r="BC1" s="680"/>
      <c r="BD1" s="680"/>
    </row>
    <row r="2" spans="1:109" ht="15.75" x14ac:dyDescent="0.25">
      <c r="AN2" s="683"/>
      <c r="AO2" s="681"/>
      <c r="AP2" s="681"/>
      <c r="BH2" s="1105" t="str">
        <f>'BASE GRANTEE INFO &amp; UPDATES'!A1</f>
        <v>WV Bureau for Behavioral Health and Health Facilities -Community Anti-Drug Coalitions of America and Teen Court</v>
      </c>
      <c r="BI2" s="1106"/>
      <c r="BJ2" s="1106"/>
      <c r="BK2" s="1106"/>
      <c r="BL2" s="1106"/>
      <c r="BM2" s="1106"/>
      <c r="BN2" s="1106"/>
      <c r="BO2" s="1106"/>
      <c r="BP2" s="1106"/>
      <c r="BQ2" s="1106"/>
      <c r="BR2" s="1106"/>
      <c r="BS2" s="1106"/>
      <c r="BT2" s="1106"/>
      <c r="BU2" s="1106"/>
      <c r="BV2" s="1106"/>
      <c r="BW2" s="1106"/>
      <c r="BX2" s="1106"/>
      <c r="BY2" s="1106"/>
      <c r="BZ2" s="1106"/>
      <c r="CA2" s="1106"/>
      <c r="CB2" s="1106"/>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row>
    <row r="3" spans="1:109" ht="15.75" x14ac:dyDescent="0.25">
      <c r="BH3" s="1105" t="str">
        <f>'BASE GRANTEE INFO &amp; UPDATES'!A2</f>
        <v>FISCAL YEAR: 2025 (09/30/2024 - 09/29/2025)</v>
      </c>
      <c r="BI3" s="1106"/>
      <c r="BJ3" s="1106"/>
      <c r="BK3" s="1106"/>
      <c r="BL3" s="1106"/>
      <c r="BM3" s="1106"/>
      <c r="BN3" s="1106"/>
      <c r="BO3" s="1106"/>
      <c r="BP3" s="1106"/>
      <c r="BQ3" s="1106"/>
      <c r="BR3" s="1106"/>
      <c r="BS3" s="1106"/>
      <c r="BT3" s="1106"/>
      <c r="BU3" s="1106"/>
      <c r="BV3" s="1106"/>
      <c r="BW3" s="1106"/>
      <c r="BX3" s="1106"/>
      <c r="BY3" s="1106"/>
      <c r="BZ3" s="1106"/>
      <c r="CA3" s="1106"/>
      <c r="CB3" s="1106"/>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row>
    <row r="4" spans="1:109" ht="15.75" x14ac:dyDescent="0.25">
      <c r="BH4" s="1166" t="str">
        <f>'BASE GRANTEE INFO &amp; UPDATES'!A3</f>
        <v xml:space="preserve">Program reports need to be submitted electronically, via e-mail to BBHReporting@wv.gov  within 25 calendar days of the end of each month </v>
      </c>
      <c r="BI4" s="1167"/>
      <c r="BJ4" s="1167"/>
      <c r="BK4" s="1167"/>
      <c r="BL4" s="1167"/>
      <c r="BM4" s="1167"/>
      <c r="BN4" s="1167"/>
      <c r="BO4" s="1167"/>
      <c r="BP4" s="1167"/>
      <c r="BQ4" s="1167"/>
      <c r="BR4" s="1167"/>
      <c r="BS4" s="1167"/>
      <c r="BT4" s="1167"/>
      <c r="BU4" s="1167"/>
      <c r="BV4" s="1167"/>
      <c r="BW4" s="1167"/>
      <c r="BX4" s="1167"/>
      <c r="BY4" s="1167"/>
      <c r="BZ4" s="1167"/>
      <c r="CA4" s="1167"/>
      <c r="CB4" s="1167"/>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row>
    <row r="5" spans="1:109" ht="18.75" x14ac:dyDescent="0.25">
      <c r="BH5" s="1168" t="s">
        <v>640</v>
      </c>
      <c r="BI5" s="1168"/>
      <c r="BJ5" s="1168"/>
      <c r="BK5" s="1168"/>
      <c r="BL5" s="1168"/>
      <c r="BM5" s="1168"/>
      <c r="BN5" s="1168"/>
      <c r="BO5" s="1168"/>
      <c r="BP5" s="1168"/>
      <c r="BQ5" s="1168"/>
      <c r="BR5" s="1168"/>
      <c r="BS5" s="1168"/>
      <c r="BT5" s="1168"/>
      <c r="BU5" s="1168"/>
      <c r="BV5" s="1168"/>
      <c r="BW5" s="1168"/>
      <c r="BX5" s="1168"/>
      <c r="BY5" s="1168"/>
      <c r="BZ5" s="1168"/>
      <c r="CA5" s="1168"/>
      <c r="CB5" s="1168"/>
      <c r="CC5" s="1168"/>
      <c r="CD5" s="1168"/>
      <c r="CE5" s="1168"/>
      <c r="CF5" s="1168"/>
      <c r="CG5" s="1168"/>
      <c r="CH5" s="1168"/>
      <c r="CI5" s="1168"/>
      <c r="CJ5" s="1168"/>
      <c r="CK5" s="1168"/>
      <c r="CL5" s="1168"/>
      <c r="CM5" s="1168"/>
      <c r="CN5" s="1168"/>
      <c r="CO5" s="1168"/>
      <c r="CP5" s="1168"/>
      <c r="CQ5" s="1168"/>
      <c r="CR5" s="1168"/>
      <c r="CS5" s="1168"/>
      <c r="CT5" s="1168"/>
      <c r="CU5" s="1168"/>
      <c r="CV5" s="1168"/>
      <c r="CW5" s="1168"/>
      <c r="CX5" s="1168"/>
      <c r="CY5" s="1168"/>
      <c r="CZ5" s="1168"/>
      <c r="DA5" s="12"/>
      <c r="DB5" s="12"/>
      <c r="DC5" s="12"/>
      <c r="DD5" s="12"/>
      <c r="DE5" s="12"/>
    </row>
    <row r="6" spans="1:109" ht="15" customHeight="1" x14ac:dyDescent="0.25">
      <c r="BH6" s="1113" t="s">
        <v>0</v>
      </c>
      <c r="BI6" s="1114"/>
      <c r="BJ6" s="1114"/>
      <c r="BK6" s="1115"/>
      <c r="BL6" s="1152" t="str">
        <f>'BASE GRANTEE INFO &amp; UPDATES'!E5</f>
        <v xml:space="preserve">Community Anti-Drug Coalitions of America (CADCA) and Teen Court </v>
      </c>
      <c r="BM6" s="1153"/>
      <c r="BN6" s="1153"/>
      <c r="BO6" s="1153"/>
      <c r="BP6" s="1153"/>
      <c r="BQ6" s="1154"/>
      <c r="BR6" s="1146" t="s">
        <v>1</v>
      </c>
      <c r="BS6" s="1147"/>
      <c r="BT6" s="1147"/>
      <c r="BU6" s="1147"/>
      <c r="BV6" s="1147"/>
      <c r="BW6" s="1160">
        <f>'BASE GRANTEE INFO &amp; UPDATES'!M5</f>
        <v>0</v>
      </c>
      <c r="BX6" s="1161"/>
      <c r="BY6" s="1161"/>
      <c r="BZ6" s="1161"/>
      <c r="CA6" s="1161"/>
      <c r="CB6" s="1161"/>
      <c r="CC6" s="125"/>
      <c r="CD6" s="93"/>
      <c r="CE6" s="93"/>
      <c r="CF6" s="93"/>
      <c r="CG6" s="93"/>
      <c r="CH6" s="93"/>
      <c r="CI6" s="93"/>
      <c r="CJ6" s="93"/>
      <c r="CK6" s="622"/>
      <c r="CL6" s="82"/>
      <c r="CM6" s="82"/>
      <c r="CN6" s="82"/>
      <c r="CO6" s="82"/>
      <c r="CP6" s="82"/>
      <c r="CQ6" s="82"/>
      <c r="CR6" s="82"/>
      <c r="CS6" s="82"/>
      <c r="CT6" s="82"/>
      <c r="CU6" s="82"/>
      <c r="CV6" s="82"/>
      <c r="CW6" s="82"/>
      <c r="CX6" s="82"/>
      <c r="CY6" s="82"/>
      <c r="CZ6" s="93"/>
      <c r="DA6" s="82"/>
      <c r="DB6" s="82"/>
      <c r="DC6" s="82"/>
      <c r="DD6" s="82"/>
      <c r="DE6" s="82"/>
    </row>
    <row r="7" spans="1:109" x14ac:dyDescent="0.25">
      <c r="BH7" s="1113" t="s">
        <v>2</v>
      </c>
      <c r="BI7" s="1114"/>
      <c r="BJ7" s="1114"/>
      <c r="BK7" s="1115"/>
      <c r="BL7" s="1143" t="str">
        <f>'BASE GRANTEE INFO &amp; UPDATES'!E6</f>
        <v>CADCA In Action and Teen Court</v>
      </c>
      <c r="BM7" s="1144"/>
      <c r="BN7" s="1144"/>
      <c r="BO7" s="1144"/>
      <c r="BP7" s="1144"/>
      <c r="BQ7" s="1145"/>
      <c r="BR7" s="1146" t="s">
        <v>3</v>
      </c>
      <c r="BS7" s="1147"/>
      <c r="BT7" s="1147"/>
      <c r="BU7" s="1147"/>
      <c r="BV7" s="1147"/>
      <c r="BW7" s="1160">
        <f>'BASE GRANTEE INFO &amp; UPDATES'!M6</f>
        <v>0</v>
      </c>
      <c r="BX7" s="1161"/>
      <c r="BY7" s="1161"/>
      <c r="BZ7" s="1161"/>
      <c r="CA7" s="1161"/>
      <c r="CB7" s="1161"/>
      <c r="CC7" s="125"/>
      <c r="CD7" s="93"/>
      <c r="CE7" s="93"/>
      <c r="CF7" s="93"/>
      <c r="CG7" s="93"/>
      <c r="CH7" s="93"/>
      <c r="CI7" s="93"/>
      <c r="CJ7" s="93"/>
      <c r="CK7" s="622"/>
      <c r="CL7" s="82"/>
      <c r="CM7" s="82"/>
      <c r="CN7" s="82"/>
      <c r="CO7" s="82"/>
      <c r="CP7" s="82"/>
      <c r="CQ7" s="82"/>
      <c r="CR7" s="82"/>
      <c r="CS7" s="82"/>
      <c r="CT7" s="82"/>
      <c r="CU7" s="82"/>
      <c r="CV7" s="82"/>
      <c r="CW7" s="82"/>
      <c r="CX7" s="82"/>
      <c r="CY7" s="82"/>
      <c r="CZ7" s="93"/>
      <c r="DA7" s="82"/>
      <c r="DB7" s="82"/>
      <c r="DC7" s="82"/>
      <c r="DD7" s="82"/>
      <c r="DE7" s="82"/>
    </row>
    <row r="8" spans="1:109" ht="15" customHeight="1" x14ac:dyDescent="0.25">
      <c r="BH8" s="1126" t="s">
        <v>4</v>
      </c>
      <c r="BI8" s="1127"/>
      <c r="BJ8" s="1127"/>
      <c r="BK8" s="1128"/>
      <c r="BL8" s="1132">
        <f>'BASE GRANTEE INFO &amp; UPDATES'!E7</f>
        <v>0</v>
      </c>
      <c r="BM8" s="1133"/>
      <c r="BN8" s="1133"/>
      <c r="BO8" s="1133"/>
      <c r="BP8" s="1133"/>
      <c r="BQ8" s="1134"/>
      <c r="BR8" s="1162" t="s">
        <v>374</v>
      </c>
      <c r="BS8" s="1163"/>
      <c r="BT8" s="1163"/>
      <c r="BU8" s="1163"/>
      <c r="BV8" s="1163"/>
      <c r="BW8" s="1160">
        <f>'BASE GRANTEE INFO &amp; UPDATES'!M7</f>
        <v>0</v>
      </c>
      <c r="BX8" s="1161"/>
      <c r="BY8" s="1161"/>
      <c r="BZ8" s="1161"/>
      <c r="CA8" s="1161"/>
      <c r="CB8" s="1161"/>
      <c r="CC8" s="125"/>
      <c r="CD8" s="93"/>
      <c r="CE8" s="93"/>
      <c r="CF8" s="93"/>
      <c r="CG8" s="93"/>
      <c r="CH8" s="93"/>
      <c r="CI8" s="93"/>
      <c r="CJ8" s="93"/>
      <c r="CK8" s="622"/>
      <c r="CL8" s="82"/>
      <c r="CM8" s="82"/>
      <c r="CN8" s="82"/>
      <c r="CO8" s="82"/>
      <c r="CP8" s="82"/>
      <c r="CQ8" s="82"/>
      <c r="CR8" s="82"/>
      <c r="CS8" s="82"/>
      <c r="CT8" s="82"/>
      <c r="CU8" s="82"/>
      <c r="CV8" s="82"/>
      <c r="CW8" s="82"/>
      <c r="CX8" s="82"/>
      <c r="CY8" s="82"/>
      <c r="CZ8" s="93"/>
      <c r="DA8" s="82"/>
      <c r="DB8" s="82"/>
      <c r="DC8" s="82"/>
      <c r="DD8" s="82"/>
      <c r="DE8" s="82"/>
    </row>
    <row r="9" spans="1:109" x14ac:dyDescent="0.25">
      <c r="BH9" s="1129"/>
      <c r="BI9" s="1130"/>
      <c r="BJ9" s="1130"/>
      <c r="BK9" s="1131"/>
      <c r="BL9" s="1135"/>
      <c r="BM9" s="1136"/>
      <c r="BN9" s="1136"/>
      <c r="BO9" s="1136"/>
      <c r="BP9" s="1136"/>
      <c r="BQ9" s="1137"/>
      <c r="BR9" s="1164" t="s">
        <v>6</v>
      </c>
      <c r="BS9" s="1165"/>
      <c r="BT9" s="1165"/>
      <c r="BU9" s="1165"/>
      <c r="BV9" s="1165"/>
      <c r="BW9" s="1160">
        <f>'BASE GRANTEE INFO &amp; UPDATES'!M8</f>
        <v>0</v>
      </c>
      <c r="BX9" s="1161"/>
      <c r="BY9" s="1161"/>
      <c r="BZ9" s="1161"/>
      <c r="CA9" s="1161"/>
      <c r="CB9" s="1161"/>
      <c r="CC9" s="125"/>
      <c r="CD9" s="93"/>
      <c r="CE9" s="93"/>
      <c r="CF9" s="93"/>
      <c r="CG9" s="93"/>
      <c r="CH9" s="93"/>
      <c r="CI9" s="93"/>
      <c r="CJ9" s="93"/>
      <c r="CK9" s="623"/>
      <c r="CL9" s="82"/>
      <c r="CM9" s="82"/>
      <c r="CN9" s="82"/>
      <c r="CO9" s="82"/>
      <c r="CP9" s="82"/>
      <c r="CQ9" s="82"/>
      <c r="CR9" s="82"/>
      <c r="CS9" s="82"/>
      <c r="CT9" s="82"/>
      <c r="CU9" s="82"/>
      <c r="CV9" s="82"/>
      <c r="CW9" s="82"/>
      <c r="CX9" s="82"/>
      <c r="CY9" s="82"/>
      <c r="CZ9" s="93"/>
      <c r="DA9" s="82"/>
      <c r="DB9" s="82"/>
      <c r="DC9" s="82"/>
      <c r="DD9" s="82"/>
      <c r="DE9" s="82"/>
    </row>
    <row r="10" spans="1:109" x14ac:dyDescent="0.25">
      <c r="I10" t="s">
        <v>748</v>
      </c>
      <c r="BH10" s="1113" t="s">
        <v>7</v>
      </c>
      <c r="BI10" s="1114"/>
      <c r="BJ10" s="1114"/>
      <c r="BK10" s="1115"/>
      <c r="BL10" s="879" t="str">
        <f>'BASE GRANTEE INFO &amp; UPDATES'!E9</f>
        <v>September 1 - 30</v>
      </c>
      <c r="BM10" s="879"/>
      <c r="BN10" s="1159">
        <f>'BASE GRANTEE INFO &amp; UPDATES'!G9</f>
        <v>2024</v>
      </c>
      <c r="BO10" s="1159"/>
      <c r="BP10" s="1159"/>
      <c r="BQ10" s="1159"/>
      <c r="BR10" s="1150" t="s">
        <v>8</v>
      </c>
      <c r="BS10" s="1151"/>
      <c r="BT10" s="1151"/>
      <c r="BU10" s="1151"/>
      <c r="BV10" s="1151"/>
      <c r="BW10" s="1160">
        <f>'BASE GRANTEE INFO &amp; UPDATES'!M9</f>
        <v>0</v>
      </c>
      <c r="BX10" s="1161"/>
      <c r="BY10" s="1161"/>
      <c r="BZ10" s="1161"/>
      <c r="CA10" s="1161"/>
      <c r="CB10" s="1161"/>
      <c r="CC10" s="626"/>
      <c r="CD10" s="624"/>
      <c r="CE10" s="624"/>
      <c r="CF10" s="624"/>
      <c r="CG10" s="624"/>
      <c r="CH10" s="624"/>
      <c r="CI10" s="624"/>
      <c r="CJ10" s="624"/>
      <c r="CK10" s="625"/>
      <c r="CL10" s="231"/>
      <c r="CM10" s="231"/>
      <c r="CN10" s="231"/>
      <c r="CO10" s="231"/>
      <c r="CP10" s="231"/>
      <c r="CQ10" s="231"/>
      <c r="CR10" s="231"/>
      <c r="CS10" s="231"/>
      <c r="CT10" s="231"/>
      <c r="CU10" s="231"/>
      <c r="CV10" s="231"/>
      <c r="CW10" s="231"/>
      <c r="CX10" s="231"/>
      <c r="CY10" s="231"/>
      <c r="CZ10" s="93"/>
      <c r="DA10" s="82"/>
      <c r="DB10" s="82"/>
      <c r="DC10" s="82"/>
      <c r="DD10" s="82"/>
      <c r="DE10" s="82"/>
    </row>
    <row r="11" spans="1:109" ht="19.5" thickBot="1" x14ac:dyDescent="0.3">
      <c r="BH11" s="1111" t="s">
        <v>359</v>
      </c>
      <c r="BI11" s="1112"/>
      <c r="BJ11" s="1112"/>
      <c r="BK11" s="1112"/>
      <c r="BL11" s="1112"/>
      <c r="BM11" s="1112"/>
      <c r="BN11" s="1155" t="s">
        <v>630</v>
      </c>
      <c r="BO11" s="1155"/>
      <c r="BP11" s="1155"/>
      <c r="BQ11" s="1158" t="s">
        <v>631</v>
      </c>
      <c r="BR11" s="1158"/>
      <c r="BS11" s="1158"/>
      <c r="BT11" s="1157" t="s">
        <v>632</v>
      </c>
      <c r="BU11" s="1157"/>
      <c r="BV11" s="1157"/>
      <c r="BW11" s="1158" t="s">
        <v>633</v>
      </c>
      <c r="BX11" s="1158"/>
      <c r="BY11" s="1158"/>
      <c r="BZ11" s="1157" t="s">
        <v>634</v>
      </c>
      <c r="CA11" s="1157"/>
      <c r="CB11" s="1157"/>
      <c r="CC11" s="1158" t="s">
        <v>635</v>
      </c>
      <c r="CD11" s="1158"/>
      <c r="CE11" s="1158"/>
      <c r="CF11" s="1155" t="s">
        <v>636</v>
      </c>
      <c r="CG11" s="1155"/>
      <c r="CH11" s="1155"/>
      <c r="CI11" s="1156" t="s">
        <v>637</v>
      </c>
      <c r="CJ11" s="1156"/>
      <c r="CK11" s="1156"/>
      <c r="CL11" s="1155" t="s">
        <v>638</v>
      </c>
      <c r="CM11" s="1155"/>
      <c r="CN11" s="1155"/>
      <c r="CO11" s="1158" t="s">
        <v>352</v>
      </c>
      <c r="CP11" s="1158"/>
      <c r="CQ11" s="1158"/>
      <c r="CR11" s="1155" t="s">
        <v>353</v>
      </c>
      <c r="CS11" s="1155"/>
      <c r="CT11" s="1155"/>
      <c r="CU11" s="1156" t="s">
        <v>639</v>
      </c>
      <c r="CV11" s="1156"/>
      <c r="CW11" s="1156"/>
      <c r="CX11" s="381"/>
      <c r="CY11" s="381"/>
      <c r="CZ11" s="84"/>
      <c r="DA11" s="84"/>
      <c r="DB11" s="423"/>
      <c r="DC11" s="423"/>
      <c r="DD11" s="423"/>
      <c r="DE11" s="423"/>
    </row>
    <row r="12" spans="1:109" ht="65.099999999999994" customHeight="1" thickTop="1" x14ac:dyDescent="0.25">
      <c r="A12" s="89" t="s">
        <v>245</v>
      </c>
      <c r="B12" s="90" t="s">
        <v>336</v>
      </c>
      <c r="C12" s="91" t="s">
        <v>337</v>
      </c>
      <c r="D12" s="90" t="s">
        <v>527</v>
      </c>
      <c r="E12" s="665" t="s">
        <v>721</v>
      </c>
      <c r="F12" s="666" t="s">
        <v>720</v>
      </c>
      <c r="G12" s="91" t="s">
        <v>532</v>
      </c>
      <c r="H12" s="692" t="s">
        <v>722</v>
      </c>
      <c r="I12" s="694" t="s">
        <v>723</v>
      </c>
      <c r="J12" s="693" t="s">
        <v>724</v>
      </c>
      <c r="K12" s="694" t="s">
        <v>725</v>
      </c>
      <c r="L12" s="695" t="s">
        <v>749</v>
      </c>
      <c r="M12" s="673" t="s">
        <v>726</v>
      </c>
      <c r="N12" s="657" t="s">
        <v>727</v>
      </c>
      <c r="O12" s="657"/>
      <c r="P12" s="688" t="s">
        <v>728</v>
      </c>
      <c r="Q12" s="688"/>
      <c r="R12" s="657" t="s">
        <v>729</v>
      </c>
      <c r="S12" s="657"/>
      <c r="T12" s="688" t="s">
        <v>730</v>
      </c>
      <c r="U12" s="688"/>
      <c r="V12" s="657" t="s">
        <v>731</v>
      </c>
      <c r="W12" s="657"/>
      <c r="X12" s="688" t="s">
        <v>732</v>
      </c>
      <c r="Y12" s="688"/>
      <c r="Z12" s="657" t="s">
        <v>733</v>
      </c>
      <c r="AA12" s="657"/>
      <c r="AB12" s="688" t="s">
        <v>734</v>
      </c>
      <c r="AC12" s="688"/>
      <c r="AD12" s="657" t="s">
        <v>735</v>
      </c>
      <c r="AE12" s="657"/>
      <c r="AF12" s="688" t="s">
        <v>736</v>
      </c>
      <c r="AG12" s="688"/>
      <c r="AH12" s="657" t="s">
        <v>737</v>
      </c>
      <c r="AI12" s="657"/>
      <c r="AJ12" s="688" t="s">
        <v>738</v>
      </c>
      <c r="AK12" s="729"/>
      <c r="AL12" s="684" t="s">
        <v>739</v>
      </c>
      <c r="AM12" s="684"/>
      <c r="AN12" s="689" t="s">
        <v>740</v>
      </c>
      <c r="AO12" s="685"/>
      <c r="AP12" s="681"/>
      <c r="AQ12" s="663"/>
      <c r="AR12" s="394" t="s">
        <v>514</v>
      </c>
      <c r="AS12" s="396" t="s">
        <v>515</v>
      </c>
      <c r="AT12" s="405" t="s">
        <v>516</v>
      </c>
      <c r="AU12" s="395" t="s">
        <v>517</v>
      </c>
      <c r="AV12" s="661"/>
      <c r="AW12" s="661"/>
      <c r="AX12" s="661"/>
      <c r="AY12" s="661"/>
      <c r="AZ12" s="661"/>
      <c r="BA12" s="661"/>
      <c r="BB12" s="661"/>
      <c r="BC12" s="661"/>
    </row>
    <row r="13" spans="1:109" ht="60" customHeight="1" x14ac:dyDescent="0.25">
      <c r="A13" s="18">
        <f>ROW(' 3SCREENING EVIDENCED BASED TX'!A1)</f>
        <v>1</v>
      </c>
      <c r="B13" s="110">
        <f>'2DEMOGRAPHICS'!B13</f>
        <v>1</v>
      </c>
      <c r="C13" s="111" t="str">
        <f>'2DEMOGRAPHICS'!C13</f>
        <v>aaaaa11111aaaaa</v>
      </c>
      <c r="D13" s="112">
        <f>'2DEMOGRAPHICS'!D13</f>
        <v>44075</v>
      </c>
      <c r="E13" s="667" t="s">
        <v>139</v>
      </c>
      <c r="F13" s="671" t="s">
        <v>22</v>
      </c>
      <c r="G13" s="113">
        <f>'2DEMOGRAPHICS'!E13</f>
        <v>44077</v>
      </c>
      <c r="H13" s="686" t="s">
        <v>100</v>
      </c>
      <c r="I13" s="690"/>
      <c r="J13" s="686" t="s">
        <v>100</v>
      </c>
      <c r="K13" s="690"/>
      <c r="L13" s="686" t="s">
        <v>100</v>
      </c>
      <c r="M13" s="691"/>
      <c r="N13" s="686"/>
      <c r="O13" s="686"/>
      <c r="P13" s="690"/>
      <c r="Q13" s="690"/>
      <c r="R13" s="686"/>
      <c r="S13" s="686"/>
      <c r="T13" s="690"/>
      <c r="U13" s="690"/>
      <c r="V13" s="686"/>
      <c r="W13" s="686"/>
      <c r="X13" s="690"/>
      <c r="Y13" s="690"/>
      <c r="Z13" s="686"/>
      <c r="AA13" s="686"/>
      <c r="AB13" s="690"/>
      <c r="AC13" s="690"/>
      <c r="AD13" s="686"/>
      <c r="AE13" s="686"/>
      <c r="AF13" s="690"/>
      <c r="AG13" s="690"/>
      <c r="AH13" s="686"/>
      <c r="AI13" s="686"/>
      <c r="AJ13" s="690"/>
      <c r="AK13" s="690"/>
      <c r="AL13" s="686"/>
      <c r="AM13" s="686"/>
      <c r="AN13" s="690"/>
      <c r="AO13" s="687"/>
      <c r="AP13" s="664"/>
      <c r="AQ13" s="664"/>
      <c r="AR13" s="411" t="s">
        <v>100</v>
      </c>
      <c r="AS13" s="406">
        <v>44077</v>
      </c>
      <c r="AT13" s="399" t="s">
        <v>522</v>
      </c>
      <c r="AU13" s="397" t="s">
        <v>22</v>
      </c>
      <c r="AV13" s="662"/>
      <c r="AW13" s="662"/>
      <c r="AX13" s="662"/>
      <c r="AY13" s="662"/>
      <c r="AZ13" s="662"/>
      <c r="BA13" s="662"/>
      <c r="BB13" s="662"/>
      <c r="BC13" s="662"/>
      <c r="BK13" s="1181" t="s">
        <v>741</v>
      </c>
      <c r="BL13" s="1182"/>
      <c r="BM13" s="1183"/>
      <c r="BN13" s="1187" t="s">
        <v>742</v>
      </c>
      <c r="BO13" s="1188"/>
      <c r="BP13" s="1189"/>
      <c r="BQ13" s="1193" t="s">
        <v>743</v>
      </c>
      <c r="BR13" s="1194"/>
      <c r="BS13" s="1195"/>
      <c r="BT13" s="1169" t="s">
        <v>744</v>
      </c>
      <c r="BU13" s="1170"/>
      <c r="BV13" s="1170"/>
      <c r="BW13" s="1170"/>
      <c r="BX13" s="1170"/>
      <c r="BY13" s="1170"/>
      <c r="BZ13" s="1171"/>
      <c r="CA13" s="1175" t="s">
        <v>262</v>
      </c>
      <c r="CB13" s="1176"/>
      <c r="CC13" s="1176"/>
      <c r="CD13" s="1176"/>
      <c r="CE13" s="1176"/>
      <c r="CF13" s="1176"/>
      <c r="CG13" s="1177"/>
    </row>
    <row r="14" spans="1:109" ht="39.950000000000003" customHeight="1" x14ac:dyDescent="0.25">
      <c r="A14" s="18">
        <f t="shared" ref="A14:A23" si="0">ROW(BH2)</f>
        <v>2</v>
      </c>
      <c r="B14" s="110">
        <f>'2DEMOGRAPHICS'!B14</f>
        <v>2</v>
      </c>
      <c r="C14" s="111" t="str">
        <f>'2DEMOGRAPHICS'!C14</f>
        <v>aaaaa11111aaaaa</v>
      </c>
      <c r="D14" s="112">
        <f>'2DEMOGRAPHICS'!D14</f>
        <v>44105</v>
      </c>
      <c r="E14" s="668" t="s">
        <v>166</v>
      </c>
      <c r="F14" s="672" t="s">
        <v>22</v>
      </c>
      <c r="G14" s="113">
        <f>'2DEMOGRAPHICS'!E14</f>
        <v>44107</v>
      </c>
      <c r="H14" s="686" t="s">
        <v>104</v>
      </c>
      <c r="I14" s="690"/>
      <c r="J14" s="686"/>
      <c r="K14" s="690"/>
      <c r="L14" s="686"/>
      <c r="M14" s="691"/>
      <c r="N14" s="686"/>
      <c r="O14" s="686"/>
      <c r="P14" s="690"/>
      <c r="Q14" s="690"/>
      <c r="R14" s="686"/>
      <c r="S14" s="686"/>
      <c r="T14" s="690"/>
      <c r="U14" s="690"/>
      <c r="V14" s="686"/>
      <c r="W14" s="686"/>
      <c r="X14" s="690"/>
      <c r="Y14" s="690"/>
      <c r="Z14" s="686"/>
      <c r="AA14" s="686"/>
      <c r="AB14" s="690"/>
      <c r="AC14" s="690"/>
      <c r="AD14" s="686"/>
      <c r="AE14" s="686"/>
      <c r="AF14" s="690"/>
      <c r="AG14" s="690"/>
      <c r="AH14" s="686"/>
      <c r="AI14" s="686"/>
      <c r="AJ14" s="690"/>
      <c r="AK14" s="690"/>
      <c r="AL14" s="686"/>
      <c r="AM14" s="686"/>
      <c r="AN14" s="690"/>
      <c r="AO14" s="687"/>
      <c r="AP14" s="664"/>
      <c r="AQ14" s="664"/>
      <c r="AR14" s="411" t="s">
        <v>104</v>
      </c>
      <c r="AS14" s="406">
        <v>44107</v>
      </c>
      <c r="AT14" s="412" t="s">
        <v>520</v>
      </c>
      <c r="AU14" s="397" t="s">
        <v>22</v>
      </c>
      <c r="AV14" s="662"/>
      <c r="AW14" s="662"/>
      <c r="AX14" s="662"/>
      <c r="AY14" s="662"/>
      <c r="AZ14" s="662"/>
      <c r="BA14" s="662"/>
      <c r="BB14" s="662"/>
      <c r="BC14" s="662"/>
      <c r="BK14" s="1184"/>
      <c r="BL14" s="1185"/>
      <c r="BM14" s="1186"/>
      <c r="BN14" s="1190"/>
      <c r="BO14" s="1191"/>
      <c r="BP14" s="1192"/>
      <c r="BQ14" s="1196"/>
      <c r="BR14" s="1197"/>
      <c r="BS14" s="1198"/>
      <c r="BT14" s="1172"/>
      <c r="BU14" s="1173"/>
      <c r="BV14" s="1173"/>
      <c r="BW14" s="1173"/>
      <c r="BX14" s="1173"/>
      <c r="BY14" s="1173"/>
      <c r="BZ14" s="1174"/>
      <c r="CA14" s="1178"/>
      <c r="CB14" s="1179"/>
      <c r="CC14" s="1179"/>
      <c r="CD14" s="1179"/>
      <c r="CE14" s="1179"/>
      <c r="CF14" s="1179"/>
      <c r="CG14" s="1180"/>
    </row>
    <row r="15" spans="1:109" ht="39.950000000000003" customHeight="1" x14ac:dyDescent="0.25">
      <c r="A15" s="18">
        <f t="shared" si="0"/>
        <v>3</v>
      </c>
      <c r="B15" s="110">
        <f>'2DEMOGRAPHICS'!B15</f>
        <v>3</v>
      </c>
      <c r="C15" s="111" t="str">
        <f>'2DEMOGRAPHICS'!C15</f>
        <v>aaaaa11111aaaaa</v>
      </c>
      <c r="D15" s="112">
        <f>'2DEMOGRAPHICS'!D15</f>
        <v>44136</v>
      </c>
      <c r="E15" s="668" t="s">
        <v>167</v>
      </c>
      <c r="F15" s="672" t="s">
        <v>22</v>
      </c>
      <c r="G15" s="113">
        <f>'2DEMOGRAPHICS'!E15</f>
        <v>44137</v>
      </c>
      <c r="H15" s="686" t="s">
        <v>100</v>
      </c>
      <c r="I15" s="690"/>
      <c r="J15" s="686"/>
      <c r="K15" s="690"/>
      <c r="L15" s="686"/>
      <c r="M15" s="691"/>
      <c r="N15" s="686"/>
      <c r="O15" s="686"/>
      <c r="P15" s="690"/>
      <c r="Q15" s="690"/>
      <c r="R15" s="686"/>
      <c r="S15" s="686"/>
      <c r="T15" s="690"/>
      <c r="U15" s="690"/>
      <c r="V15" s="686"/>
      <c r="W15" s="686"/>
      <c r="X15" s="690"/>
      <c r="Y15" s="690"/>
      <c r="Z15" s="686"/>
      <c r="AA15" s="686"/>
      <c r="AB15" s="690"/>
      <c r="AC15" s="690"/>
      <c r="AD15" s="686"/>
      <c r="AE15" s="686"/>
      <c r="AF15" s="690"/>
      <c r="AG15" s="690"/>
      <c r="AH15" s="686"/>
      <c r="AI15" s="686"/>
      <c r="AJ15" s="690"/>
      <c r="AK15" s="690"/>
      <c r="AL15" s="686"/>
      <c r="AM15" s="686"/>
      <c r="AN15" s="690"/>
      <c r="AO15" s="687"/>
      <c r="AP15" s="664"/>
      <c r="AQ15" s="664"/>
      <c r="AR15" s="411" t="s">
        <v>100</v>
      </c>
      <c r="AS15" s="406">
        <v>44137</v>
      </c>
      <c r="AT15" s="412" t="s">
        <v>518</v>
      </c>
      <c r="AU15" s="397" t="s">
        <v>22</v>
      </c>
      <c r="AV15" s="662"/>
      <c r="AW15" s="662"/>
      <c r="AX15" s="662"/>
      <c r="AY15" s="662"/>
      <c r="AZ15" s="662"/>
      <c r="BA15" s="662"/>
      <c r="BB15" s="662"/>
      <c r="BC15" s="662"/>
    </row>
    <row r="16" spans="1:109" ht="39.950000000000003" customHeight="1" x14ac:dyDescent="0.25">
      <c r="A16" s="18">
        <f t="shared" si="0"/>
        <v>4</v>
      </c>
      <c r="B16" s="110">
        <f>'2DEMOGRAPHICS'!B16</f>
        <v>4</v>
      </c>
      <c r="C16" s="111" t="str">
        <f>'2DEMOGRAPHICS'!C16</f>
        <v>aaaaa11111aaaaa</v>
      </c>
      <c r="D16" s="112">
        <f>'2DEMOGRAPHICS'!D16</f>
        <v>44166</v>
      </c>
      <c r="E16" s="668" t="s">
        <v>170</v>
      </c>
      <c r="F16" s="672" t="s">
        <v>22</v>
      </c>
      <c r="G16" s="113">
        <f>'2DEMOGRAPHICS'!E16</f>
        <v>44170</v>
      </c>
      <c r="H16" s="686" t="s">
        <v>104</v>
      </c>
      <c r="I16" s="690"/>
      <c r="J16" s="686"/>
      <c r="K16" s="690"/>
      <c r="L16" s="686"/>
      <c r="M16" s="691"/>
      <c r="N16" s="686"/>
      <c r="O16" s="686"/>
      <c r="P16" s="690"/>
      <c r="Q16" s="690"/>
      <c r="R16" s="686"/>
      <c r="S16" s="686"/>
      <c r="T16" s="690"/>
      <c r="U16" s="690"/>
      <c r="V16" s="686"/>
      <c r="W16" s="686"/>
      <c r="X16" s="690"/>
      <c r="Y16" s="690"/>
      <c r="Z16" s="686"/>
      <c r="AA16" s="686"/>
      <c r="AB16" s="690"/>
      <c r="AC16" s="690"/>
      <c r="AD16" s="686"/>
      <c r="AE16" s="686"/>
      <c r="AF16" s="690"/>
      <c r="AG16" s="690"/>
      <c r="AH16" s="686"/>
      <c r="AI16" s="686"/>
      <c r="AJ16" s="690"/>
      <c r="AK16" s="690"/>
      <c r="AL16" s="686"/>
      <c r="AM16" s="686"/>
      <c r="AN16" s="690"/>
      <c r="AO16" s="687"/>
      <c r="AP16" s="664"/>
      <c r="AQ16" s="664"/>
      <c r="AR16" s="411" t="s">
        <v>104</v>
      </c>
      <c r="AS16" s="406">
        <v>44170</v>
      </c>
      <c r="AT16" s="412" t="s">
        <v>192</v>
      </c>
      <c r="AU16" s="397" t="s">
        <v>22</v>
      </c>
      <c r="AV16" s="662"/>
      <c r="AW16" s="662"/>
      <c r="AX16" s="662"/>
      <c r="AY16" s="662"/>
      <c r="AZ16" s="662"/>
      <c r="BA16" s="662"/>
      <c r="BB16" s="662"/>
      <c r="BC16" s="662"/>
    </row>
    <row r="17" spans="1:55" ht="39.950000000000003" customHeight="1" x14ac:dyDescent="0.25">
      <c r="A17" s="18">
        <f t="shared" si="0"/>
        <v>5</v>
      </c>
      <c r="B17" s="110">
        <f>'2DEMOGRAPHICS'!B17</f>
        <v>5</v>
      </c>
      <c r="C17" s="111" t="str">
        <f>'2DEMOGRAPHICS'!C17</f>
        <v>aaaaa11111aaaaa</v>
      </c>
      <c r="D17" s="112">
        <f>'2DEMOGRAPHICS'!D17</f>
        <v>44197</v>
      </c>
      <c r="E17" s="668" t="s">
        <v>173</v>
      </c>
      <c r="F17" s="672" t="s">
        <v>22</v>
      </c>
      <c r="G17" s="113">
        <f>'2DEMOGRAPHICS'!E17</f>
        <v>44201</v>
      </c>
      <c r="H17" s="686" t="s">
        <v>100</v>
      </c>
      <c r="I17" s="690"/>
      <c r="J17" s="686"/>
      <c r="K17" s="690"/>
      <c r="L17" s="686"/>
      <c r="M17" s="691"/>
      <c r="N17" s="686"/>
      <c r="O17" s="686"/>
      <c r="P17" s="690"/>
      <c r="Q17" s="690"/>
      <c r="R17" s="686"/>
      <c r="S17" s="686"/>
      <c r="T17" s="690"/>
      <c r="U17" s="690"/>
      <c r="V17" s="686"/>
      <c r="W17" s="686"/>
      <c r="X17" s="690"/>
      <c r="Y17" s="690"/>
      <c r="Z17" s="686"/>
      <c r="AA17" s="686"/>
      <c r="AB17" s="690"/>
      <c r="AC17" s="690"/>
      <c r="AD17" s="686"/>
      <c r="AE17" s="686"/>
      <c r="AF17" s="690"/>
      <c r="AG17" s="690"/>
      <c r="AH17" s="686"/>
      <c r="AI17" s="686"/>
      <c r="AJ17" s="690"/>
      <c r="AK17" s="690"/>
      <c r="AL17" s="686"/>
      <c r="AM17" s="686"/>
      <c r="AN17" s="690"/>
      <c r="AO17" s="687"/>
      <c r="AP17" s="664"/>
      <c r="AQ17" s="664"/>
      <c r="AR17" s="411" t="s">
        <v>100</v>
      </c>
      <c r="AS17" s="406">
        <v>44201</v>
      </c>
      <c r="AT17" s="399" t="s">
        <v>522</v>
      </c>
      <c r="AU17" s="397" t="s">
        <v>22</v>
      </c>
      <c r="AV17" s="662"/>
      <c r="AW17" s="662"/>
      <c r="AX17" s="662"/>
      <c r="AY17" s="662"/>
      <c r="AZ17" s="662"/>
      <c r="BA17" s="662"/>
      <c r="BB17" s="662"/>
      <c r="BC17" s="662"/>
    </row>
    <row r="18" spans="1:55" ht="39.950000000000003" customHeight="1" x14ac:dyDescent="0.25">
      <c r="A18" s="18">
        <f t="shared" si="0"/>
        <v>6</v>
      </c>
      <c r="B18" s="110">
        <f>'2DEMOGRAPHICS'!B18</f>
        <v>6</v>
      </c>
      <c r="C18" s="111" t="str">
        <f>'2DEMOGRAPHICS'!C18</f>
        <v>aaaaa11111aaaaa</v>
      </c>
      <c r="D18" s="112">
        <f>'2DEMOGRAPHICS'!D18</f>
        <v>44228</v>
      </c>
      <c r="E18" s="668" t="s">
        <v>176</v>
      </c>
      <c r="F18" s="672" t="s">
        <v>22</v>
      </c>
      <c r="G18" s="113">
        <f>'2DEMOGRAPHICS'!E18</f>
        <v>44230</v>
      </c>
      <c r="H18" s="686" t="s">
        <v>104</v>
      </c>
      <c r="I18" s="690"/>
      <c r="J18" s="686"/>
      <c r="K18" s="690"/>
      <c r="L18" s="686"/>
      <c r="M18" s="691"/>
      <c r="N18" s="686"/>
      <c r="O18" s="686"/>
      <c r="P18" s="690"/>
      <c r="Q18" s="690"/>
      <c r="R18" s="686"/>
      <c r="S18" s="686"/>
      <c r="T18" s="690"/>
      <c r="U18" s="690"/>
      <c r="V18" s="686"/>
      <c r="W18" s="686"/>
      <c r="X18" s="690"/>
      <c r="Y18" s="690"/>
      <c r="Z18" s="686"/>
      <c r="AA18" s="686"/>
      <c r="AB18" s="690"/>
      <c r="AC18" s="690"/>
      <c r="AD18" s="686"/>
      <c r="AE18" s="686"/>
      <c r="AF18" s="690"/>
      <c r="AG18" s="690"/>
      <c r="AH18" s="686"/>
      <c r="AI18" s="686"/>
      <c r="AJ18" s="690"/>
      <c r="AK18" s="690"/>
      <c r="AL18" s="686"/>
      <c r="AM18" s="686"/>
      <c r="AN18" s="690"/>
      <c r="AO18" s="687"/>
      <c r="AP18" s="664"/>
      <c r="AQ18" s="664"/>
      <c r="AR18" s="411" t="s">
        <v>104</v>
      </c>
      <c r="AS18" s="406">
        <v>44230</v>
      </c>
      <c r="AT18" s="412" t="s">
        <v>520</v>
      </c>
      <c r="AU18" s="397" t="s">
        <v>22</v>
      </c>
      <c r="AV18" s="662"/>
      <c r="AW18" s="662"/>
      <c r="AX18" s="662"/>
      <c r="AY18" s="662"/>
      <c r="AZ18" s="662"/>
      <c r="BA18" s="662"/>
      <c r="BB18" s="662"/>
      <c r="BC18" s="662"/>
    </row>
    <row r="19" spans="1:55" ht="39.950000000000003" customHeight="1" x14ac:dyDescent="0.25">
      <c r="A19" s="18">
        <f t="shared" si="0"/>
        <v>7</v>
      </c>
      <c r="B19" s="110">
        <f>'2DEMOGRAPHICS'!B19</f>
        <v>7</v>
      </c>
      <c r="C19" s="111" t="str">
        <f>'2DEMOGRAPHICS'!C19</f>
        <v>aaaaa11111aaaaa</v>
      </c>
      <c r="D19" s="112">
        <f>'2DEMOGRAPHICS'!D19</f>
        <v>44256</v>
      </c>
      <c r="E19" s="668" t="s">
        <v>180</v>
      </c>
      <c r="F19" s="672" t="s">
        <v>22</v>
      </c>
      <c r="G19" s="113">
        <f>'2DEMOGRAPHICS'!E19</f>
        <v>44259</v>
      </c>
      <c r="H19" s="686" t="s">
        <v>100</v>
      </c>
      <c r="I19" s="690"/>
      <c r="J19" s="686"/>
      <c r="K19" s="690"/>
      <c r="L19" s="686"/>
      <c r="M19" s="691"/>
      <c r="N19" s="686"/>
      <c r="O19" s="686"/>
      <c r="P19" s="690"/>
      <c r="Q19" s="690"/>
      <c r="R19" s="686"/>
      <c r="S19" s="686"/>
      <c r="T19" s="690"/>
      <c r="U19" s="690"/>
      <c r="V19" s="686"/>
      <c r="W19" s="686"/>
      <c r="X19" s="690"/>
      <c r="Y19" s="690"/>
      <c r="Z19" s="686"/>
      <c r="AA19" s="686"/>
      <c r="AB19" s="690"/>
      <c r="AC19" s="690"/>
      <c r="AD19" s="686"/>
      <c r="AE19" s="686"/>
      <c r="AF19" s="690"/>
      <c r="AG19" s="690"/>
      <c r="AH19" s="686"/>
      <c r="AI19" s="686"/>
      <c r="AJ19" s="690"/>
      <c r="AK19" s="690"/>
      <c r="AL19" s="686"/>
      <c r="AM19" s="686"/>
      <c r="AN19" s="690"/>
      <c r="AO19" s="687"/>
      <c r="AP19" s="664"/>
      <c r="AQ19" s="664"/>
      <c r="AR19" s="411" t="s">
        <v>100</v>
      </c>
      <c r="AS19" s="406">
        <v>44259</v>
      </c>
      <c r="AT19" s="412" t="s">
        <v>518</v>
      </c>
      <c r="AU19" s="397" t="s">
        <v>22</v>
      </c>
      <c r="AV19" s="662"/>
      <c r="AW19" s="662"/>
      <c r="AX19" s="662"/>
      <c r="AY19" s="662"/>
      <c r="AZ19" s="662"/>
      <c r="BA19" s="662"/>
      <c r="BB19" s="662"/>
      <c r="BC19" s="662"/>
    </row>
    <row r="20" spans="1:55" ht="39.950000000000003" customHeight="1" x14ac:dyDescent="0.25">
      <c r="A20" s="18">
        <f t="shared" si="0"/>
        <v>8</v>
      </c>
      <c r="B20" s="110">
        <f>'2DEMOGRAPHICS'!B20</f>
        <v>8</v>
      </c>
      <c r="C20" s="111" t="str">
        <f>'2DEMOGRAPHICS'!C20</f>
        <v>aaaaa11111aaaaa</v>
      </c>
      <c r="D20" s="112">
        <f>'2DEMOGRAPHICS'!D20</f>
        <v>44287</v>
      </c>
      <c r="E20" s="668" t="s">
        <v>183</v>
      </c>
      <c r="F20" s="672" t="s">
        <v>22</v>
      </c>
      <c r="G20" s="113">
        <f>'2DEMOGRAPHICS'!E20</f>
        <v>44291</v>
      </c>
      <c r="H20" s="686" t="s">
        <v>104</v>
      </c>
      <c r="I20" s="690"/>
      <c r="J20" s="686"/>
      <c r="K20" s="690"/>
      <c r="L20" s="686"/>
      <c r="M20" s="691"/>
      <c r="N20" s="686"/>
      <c r="O20" s="686"/>
      <c r="P20" s="690"/>
      <c r="Q20" s="690"/>
      <c r="R20" s="686"/>
      <c r="S20" s="686"/>
      <c r="T20" s="690"/>
      <c r="U20" s="690"/>
      <c r="V20" s="686"/>
      <c r="W20" s="686"/>
      <c r="X20" s="690"/>
      <c r="Y20" s="690"/>
      <c r="Z20" s="686"/>
      <c r="AA20" s="686"/>
      <c r="AB20" s="690"/>
      <c r="AC20" s="690"/>
      <c r="AD20" s="686"/>
      <c r="AE20" s="686"/>
      <c r="AF20" s="690"/>
      <c r="AG20" s="690"/>
      <c r="AH20" s="686"/>
      <c r="AI20" s="686"/>
      <c r="AJ20" s="690"/>
      <c r="AK20" s="690"/>
      <c r="AL20" s="686"/>
      <c r="AM20" s="686"/>
      <c r="AN20" s="690"/>
      <c r="AO20" s="687"/>
      <c r="AP20" s="664"/>
      <c r="AQ20" s="664"/>
      <c r="AR20" s="411" t="s">
        <v>104</v>
      </c>
      <c r="AS20" s="406">
        <v>44291</v>
      </c>
      <c r="AT20" s="412" t="s">
        <v>192</v>
      </c>
      <c r="AU20" s="397" t="s">
        <v>22</v>
      </c>
      <c r="AV20" s="662"/>
      <c r="AW20" s="662"/>
      <c r="AX20" s="662"/>
      <c r="AY20" s="662"/>
      <c r="AZ20" s="662"/>
      <c r="BA20" s="662"/>
      <c r="BB20" s="662"/>
      <c r="BC20" s="662"/>
    </row>
    <row r="21" spans="1:55" ht="39.950000000000003" customHeight="1" x14ac:dyDescent="0.25">
      <c r="A21" s="18">
        <f t="shared" si="0"/>
        <v>9</v>
      </c>
      <c r="B21" s="110">
        <f>'2DEMOGRAPHICS'!B21</f>
        <v>9</v>
      </c>
      <c r="C21" s="111" t="str">
        <f>'2DEMOGRAPHICS'!C21</f>
        <v>aaaaa11111aaaaa</v>
      </c>
      <c r="D21" s="112">
        <f>'2DEMOGRAPHICS'!D21</f>
        <v>44317</v>
      </c>
      <c r="E21" s="668" t="s">
        <v>186</v>
      </c>
      <c r="F21" s="672" t="s">
        <v>22</v>
      </c>
      <c r="G21" s="113">
        <f>'2DEMOGRAPHICS'!E21</f>
        <v>44319</v>
      </c>
      <c r="H21" s="686" t="s">
        <v>100</v>
      </c>
      <c r="I21" s="690"/>
      <c r="J21" s="686"/>
      <c r="K21" s="690"/>
      <c r="L21" s="686"/>
      <c r="M21" s="691"/>
      <c r="N21" s="686"/>
      <c r="O21" s="686"/>
      <c r="P21" s="690"/>
      <c r="Q21" s="690"/>
      <c r="R21" s="686"/>
      <c r="S21" s="686"/>
      <c r="T21" s="690"/>
      <c r="U21" s="690"/>
      <c r="V21" s="686"/>
      <c r="W21" s="686"/>
      <c r="X21" s="690"/>
      <c r="Y21" s="690"/>
      <c r="Z21" s="686"/>
      <c r="AA21" s="686"/>
      <c r="AB21" s="690"/>
      <c r="AC21" s="690"/>
      <c r="AD21" s="686"/>
      <c r="AE21" s="686"/>
      <c r="AF21" s="690"/>
      <c r="AG21" s="690"/>
      <c r="AH21" s="686"/>
      <c r="AI21" s="686"/>
      <c r="AJ21" s="690"/>
      <c r="AK21" s="690"/>
      <c r="AL21" s="686"/>
      <c r="AM21" s="686"/>
      <c r="AN21" s="690"/>
      <c r="AO21" s="687"/>
      <c r="AP21" s="664"/>
      <c r="AQ21" s="664"/>
      <c r="AR21" s="411" t="s">
        <v>100</v>
      </c>
      <c r="AS21" s="406">
        <v>44319</v>
      </c>
      <c r="AT21" s="399" t="s">
        <v>522</v>
      </c>
      <c r="AU21" s="397" t="s">
        <v>22</v>
      </c>
      <c r="AV21" s="662"/>
      <c r="AW21" s="662"/>
      <c r="AX21" s="662"/>
      <c r="AY21" s="662"/>
      <c r="AZ21" s="662"/>
      <c r="BA21" s="662"/>
      <c r="BB21" s="662"/>
      <c r="BC21" s="662"/>
    </row>
    <row r="22" spans="1:55" ht="39.950000000000003" customHeight="1" x14ac:dyDescent="0.25">
      <c r="A22" s="18">
        <f t="shared" si="0"/>
        <v>10</v>
      </c>
      <c r="B22" s="110">
        <f>'2DEMOGRAPHICS'!B22</f>
        <v>10</v>
      </c>
      <c r="C22" s="111" t="str">
        <f>'2DEMOGRAPHICS'!C22</f>
        <v>aaaaa11111aaaaa</v>
      </c>
      <c r="D22" s="112">
        <f>'2DEMOGRAPHICS'!D22</f>
        <v>44348</v>
      </c>
      <c r="E22" s="668" t="s">
        <v>188</v>
      </c>
      <c r="F22" s="672" t="s">
        <v>22</v>
      </c>
      <c r="G22" s="113">
        <f>'2DEMOGRAPHICS'!E22</f>
        <v>44351</v>
      </c>
      <c r="H22" s="686" t="s">
        <v>104</v>
      </c>
      <c r="I22" s="690"/>
      <c r="J22" s="686"/>
      <c r="K22" s="690"/>
      <c r="L22" s="686"/>
      <c r="M22" s="691"/>
      <c r="N22" s="686"/>
      <c r="O22" s="686"/>
      <c r="P22" s="690"/>
      <c r="Q22" s="690"/>
      <c r="R22" s="686"/>
      <c r="S22" s="686"/>
      <c r="T22" s="690"/>
      <c r="U22" s="690"/>
      <c r="V22" s="686"/>
      <c r="W22" s="686"/>
      <c r="X22" s="690"/>
      <c r="Y22" s="690"/>
      <c r="Z22" s="686"/>
      <c r="AA22" s="686"/>
      <c r="AB22" s="690"/>
      <c r="AC22" s="690"/>
      <c r="AD22" s="686"/>
      <c r="AE22" s="686"/>
      <c r="AF22" s="690"/>
      <c r="AG22" s="690"/>
      <c r="AH22" s="686"/>
      <c r="AI22" s="686"/>
      <c r="AJ22" s="690"/>
      <c r="AK22" s="690"/>
      <c r="AL22" s="686"/>
      <c r="AM22" s="686"/>
      <c r="AN22" s="690"/>
      <c r="AO22" s="687"/>
      <c r="AP22" s="664"/>
      <c r="AQ22" s="664"/>
      <c r="AR22" s="411" t="s">
        <v>104</v>
      </c>
      <c r="AS22" s="406">
        <v>44351</v>
      </c>
      <c r="AT22" s="412" t="s">
        <v>520</v>
      </c>
      <c r="AU22" s="397" t="s">
        <v>22</v>
      </c>
      <c r="AV22" s="662"/>
      <c r="AW22" s="662"/>
      <c r="AX22" s="662"/>
      <c r="AY22" s="662"/>
      <c r="AZ22" s="662"/>
      <c r="BA22" s="662"/>
      <c r="BB22" s="662"/>
      <c r="BC22" s="662"/>
    </row>
    <row r="23" spans="1:55" ht="39.950000000000003" customHeight="1" x14ac:dyDescent="0.25">
      <c r="A23" s="18">
        <f t="shared" si="0"/>
        <v>11</v>
      </c>
      <c r="B23" s="110">
        <f>'2DEMOGRAPHICS'!B23</f>
        <v>11</v>
      </c>
      <c r="C23" s="111" t="str">
        <f>'2DEMOGRAPHICS'!C23</f>
        <v>aaaaa11111aaaaa</v>
      </c>
      <c r="D23" s="112">
        <f>'2DEMOGRAPHICS'!D23</f>
        <v>44378</v>
      </c>
      <c r="E23" s="668" t="s">
        <v>190</v>
      </c>
      <c r="F23" s="672" t="s">
        <v>22</v>
      </c>
      <c r="G23" s="113">
        <f>'2DEMOGRAPHICS'!E23</f>
        <v>44379</v>
      </c>
      <c r="H23" s="686" t="s">
        <v>100</v>
      </c>
      <c r="I23" s="690"/>
      <c r="J23" s="686"/>
      <c r="K23" s="690"/>
      <c r="L23" s="686"/>
      <c r="M23" s="691"/>
      <c r="N23" s="686"/>
      <c r="O23" s="686"/>
      <c r="P23" s="690"/>
      <c r="Q23" s="690"/>
      <c r="R23" s="686"/>
      <c r="S23" s="686"/>
      <c r="T23" s="690"/>
      <c r="U23" s="690"/>
      <c r="V23" s="686"/>
      <c r="W23" s="686"/>
      <c r="X23" s="690"/>
      <c r="Y23" s="690"/>
      <c r="Z23" s="686"/>
      <c r="AA23" s="686"/>
      <c r="AB23" s="690"/>
      <c r="AC23" s="690"/>
      <c r="AD23" s="686"/>
      <c r="AE23" s="686"/>
      <c r="AF23" s="690"/>
      <c r="AG23" s="690"/>
      <c r="AH23" s="686"/>
      <c r="AI23" s="686"/>
      <c r="AJ23" s="690"/>
      <c r="AK23" s="690"/>
      <c r="AL23" s="686"/>
      <c r="AM23" s="686"/>
      <c r="AN23" s="690"/>
      <c r="AO23" s="687"/>
      <c r="AP23" s="664"/>
      <c r="AQ23" s="664"/>
      <c r="AR23" s="411" t="s">
        <v>100</v>
      </c>
      <c r="AS23" s="406">
        <v>44379</v>
      </c>
      <c r="AT23" s="399" t="s">
        <v>522</v>
      </c>
      <c r="AU23" s="398"/>
    </row>
    <row r="24" spans="1:55" ht="39.950000000000003" customHeight="1" x14ac:dyDescent="0.25">
      <c r="A24" s="18">
        <f t="shared" ref="A24:A62" si="1">ROW(A12)</f>
        <v>12</v>
      </c>
      <c r="B24" s="110">
        <f>'2DEMOGRAPHICS'!B24</f>
        <v>12</v>
      </c>
      <c r="C24" s="111" t="str">
        <f>'2DEMOGRAPHICS'!C24</f>
        <v>aaaaa11111aaaaa</v>
      </c>
      <c r="D24" s="112">
        <f>'2DEMOGRAPHICS'!D24</f>
        <v>44409</v>
      </c>
      <c r="E24" s="667" t="s">
        <v>139</v>
      </c>
      <c r="F24" s="672" t="s">
        <v>22</v>
      </c>
      <c r="G24" s="113">
        <f>'2DEMOGRAPHICS'!E24</f>
        <v>44412</v>
      </c>
      <c r="H24" s="686" t="s">
        <v>104</v>
      </c>
      <c r="I24" s="690"/>
      <c r="J24" s="686"/>
      <c r="K24" s="690"/>
      <c r="L24" s="686"/>
      <c r="M24" s="691"/>
      <c r="N24" s="686"/>
      <c r="O24" s="686"/>
      <c r="P24" s="690"/>
      <c r="Q24" s="690"/>
      <c r="R24" s="686"/>
      <c r="S24" s="686"/>
      <c r="T24" s="690"/>
      <c r="U24" s="690"/>
      <c r="V24" s="686"/>
      <c r="W24" s="686"/>
      <c r="X24" s="690"/>
      <c r="Y24" s="690"/>
      <c r="Z24" s="686"/>
      <c r="AA24" s="686"/>
      <c r="AB24" s="690"/>
      <c r="AC24" s="690"/>
      <c r="AD24" s="686"/>
      <c r="AE24" s="686"/>
      <c r="AF24" s="690"/>
      <c r="AG24" s="690"/>
      <c r="AH24" s="686"/>
      <c r="AI24" s="686"/>
      <c r="AJ24" s="690"/>
      <c r="AK24" s="690"/>
      <c r="AL24" s="686"/>
      <c r="AM24" s="686"/>
      <c r="AN24" s="690"/>
      <c r="AO24" s="687"/>
      <c r="AP24" s="664"/>
      <c r="AQ24" s="664"/>
      <c r="AR24" s="411" t="s">
        <v>104</v>
      </c>
      <c r="AS24" s="406">
        <v>44412</v>
      </c>
      <c r="AT24" s="412" t="s">
        <v>520</v>
      </c>
      <c r="AU24" s="398"/>
    </row>
    <row r="25" spans="1:55" ht="39.950000000000003" customHeight="1" x14ac:dyDescent="0.25">
      <c r="A25" s="18">
        <f t="shared" si="1"/>
        <v>13</v>
      </c>
      <c r="B25" s="110">
        <f>'2DEMOGRAPHICS'!B25</f>
        <v>13</v>
      </c>
      <c r="C25" s="111" t="str">
        <f>'2DEMOGRAPHICS'!C25</f>
        <v>aaaaa11111aaaaa</v>
      </c>
      <c r="D25" s="112">
        <f>'2DEMOGRAPHICS'!D25</f>
        <v>44075</v>
      </c>
      <c r="E25" s="668" t="s">
        <v>166</v>
      </c>
      <c r="F25" s="672" t="s">
        <v>22</v>
      </c>
      <c r="G25" s="113">
        <f>'2DEMOGRAPHICS'!E25</f>
        <v>44077</v>
      </c>
      <c r="H25" s="686" t="s">
        <v>100</v>
      </c>
      <c r="I25" s="690"/>
      <c r="J25" s="686"/>
      <c r="K25" s="690"/>
      <c r="L25" s="686"/>
      <c r="M25" s="691"/>
      <c r="N25" s="686"/>
      <c r="O25" s="686"/>
      <c r="P25" s="690"/>
      <c r="Q25" s="690"/>
      <c r="R25" s="686"/>
      <c r="S25" s="686"/>
      <c r="T25" s="690"/>
      <c r="U25" s="690"/>
      <c r="V25" s="686"/>
      <c r="W25" s="686"/>
      <c r="X25" s="690"/>
      <c r="Y25" s="690"/>
      <c r="Z25" s="686"/>
      <c r="AA25" s="686"/>
      <c r="AB25" s="690"/>
      <c r="AC25" s="690"/>
      <c r="AD25" s="686"/>
      <c r="AE25" s="686"/>
      <c r="AF25" s="690"/>
      <c r="AG25" s="690"/>
      <c r="AH25" s="686"/>
      <c r="AI25" s="686"/>
      <c r="AJ25" s="690"/>
      <c r="AK25" s="690"/>
      <c r="AL25" s="686"/>
      <c r="AM25" s="686"/>
      <c r="AN25" s="690"/>
      <c r="AO25" s="687"/>
      <c r="AP25" s="664"/>
      <c r="AQ25" s="664"/>
      <c r="AR25" s="411" t="s">
        <v>100</v>
      </c>
      <c r="AS25" s="406">
        <v>44077</v>
      </c>
      <c r="AT25" s="412" t="s">
        <v>518</v>
      </c>
      <c r="AU25" s="398"/>
    </row>
    <row r="26" spans="1:55" ht="39.950000000000003" customHeight="1" x14ac:dyDescent="0.25">
      <c r="A26" s="18">
        <f t="shared" si="1"/>
        <v>14</v>
      </c>
      <c r="B26" s="110">
        <f>'2DEMOGRAPHICS'!B26</f>
        <v>14</v>
      </c>
      <c r="C26" s="111" t="str">
        <f>'2DEMOGRAPHICS'!C26</f>
        <v>aaaaa11111aaaaa</v>
      </c>
      <c r="D26" s="112">
        <f>'2DEMOGRAPHICS'!D26</f>
        <v>44105</v>
      </c>
      <c r="E26" s="668" t="s">
        <v>167</v>
      </c>
      <c r="F26" s="672" t="s">
        <v>22</v>
      </c>
      <c r="G26" s="113">
        <f>'2DEMOGRAPHICS'!E26</f>
        <v>44077</v>
      </c>
      <c r="H26" s="686" t="s">
        <v>104</v>
      </c>
      <c r="I26" s="690"/>
      <c r="J26" s="686"/>
      <c r="K26" s="690"/>
      <c r="L26" s="686"/>
      <c r="M26" s="691"/>
      <c r="N26" s="686"/>
      <c r="O26" s="686"/>
      <c r="P26" s="690"/>
      <c r="Q26" s="690"/>
      <c r="R26" s="686"/>
      <c r="S26" s="686"/>
      <c r="T26" s="690"/>
      <c r="U26" s="690"/>
      <c r="V26" s="686"/>
      <c r="W26" s="686"/>
      <c r="X26" s="690"/>
      <c r="Y26" s="690"/>
      <c r="Z26" s="686"/>
      <c r="AA26" s="686"/>
      <c r="AB26" s="690"/>
      <c r="AC26" s="690"/>
      <c r="AD26" s="686"/>
      <c r="AE26" s="686"/>
      <c r="AF26" s="690"/>
      <c r="AG26" s="690"/>
      <c r="AH26" s="686"/>
      <c r="AI26" s="686"/>
      <c r="AJ26" s="690"/>
      <c r="AK26" s="690"/>
      <c r="AL26" s="686"/>
      <c r="AM26" s="686"/>
      <c r="AN26" s="690"/>
      <c r="AO26" s="687"/>
      <c r="AP26" s="664"/>
      <c r="AQ26" s="664"/>
      <c r="AR26" s="411" t="s">
        <v>104</v>
      </c>
      <c r="AS26" s="406">
        <v>44077</v>
      </c>
      <c r="AT26" s="412" t="s">
        <v>192</v>
      </c>
      <c r="AU26" s="398"/>
    </row>
    <row r="27" spans="1:55" ht="39.950000000000003" customHeight="1" x14ac:dyDescent="0.25">
      <c r="A27" s="18">
        <f t="shared" si="1"/>
        <v>15</v>
      </c>
      <c r="B27" s="110">
        <f>'2DEMOGRAPHICS'!B27</f>
        <v>15</v>
      </c>
      <c r="C27" s="111" t="str">
        <f>'2DEMOGRAPHICS'!C27</f>
        <v>aaaaa11111aaaaa</v>
      </c>
      <c r="D27" s="112">
        <f>'2DEMOGRAPHICS'!D27</f>
        <v>44136</v>
      </c>
      <c r="E27" s="668" t="s">
        <v>170</v>
      </c>
      <c r="F27" s="672" t="s">
        <v>22</v>
      </c>
      <c r="G27" s="113">
        <f>'2DEMOGRAPHICS'!E27</f>
        <v>44137</v>
      </c>
      <c r="H27" s="686" t="s">
        <v>100</v>
      </c>
      <c r="I27" s="690"/>
      <c r="J27" s="686"/>
      <c r="K27" s="690"/>
      <c r="L27" s="686"/>
      <c r="M27" s="691"/>
      <c r="N27" s="686"/>
      <c r="O27" s="686"/>
      <c r="P27" s="690"/>
      <c r="Q27" s="690"/>
      <c r="R27" s="686"/>
      <c r="S27" s="686"/>
      <c r="T27" s="690"/>
      <c r="U27" s="690"/>
      <c r="V27" s="686"/>
      <c r="W27" s="686"/>
      <c r="X27" s="690"/>
      <c r="Y27" s="690"/>
      <c r="Z27" s="686"/>
      <c r="AA27" s="686"/>
      <c r="AB27" s="690"/>
      <c r="AC27" s="690"/>
      <c r="AD27" s="686"/>
      <c r="AE27" s="686"/>
      <c r="AF27" s="690"/>
      <c r="AG27" s="690"/>
      <c r="AH27" s="686"/>
      <c r="AI27" s="686"/>
      <c r="AJ27" s="690"/>
      <c r="AK27" s="690"/>
      <c r="AL27" s="686"/>
      <c r="AM27" s="686"/>
      <c r="AN27" s="690"/>
      <c r="AO27" s="687"/>
      <c r="AP27" s="664"/>
      <c r="AQ27" s="664"/>
      <c r="AR27" s="411" t="s">
        <v>100</v>
      </c>
      <c r="AS27" s="406">
        <v>44137</v>
      </c>
      <c r="AT27" s="399" t="s">
        <v>522</v>
      </c>
      <c r="AU27" s="398"/>
    </row>
    <row r="28" spans="1:55" ht="39.950000000000003" customHeight="1" x14ac:dyDescent="0.25">
      <c r="A28" s="18">
        <f t="shared" si="1"/>
        <v>16</v>
      </c>
      <c r="B28" s="110">
        <f>'2DEMOGRAPHICS'!B28</f>
        <v>16</v>
      </c>
      <c r="C28" s="111" t="str">
        <f>'2DEMOGRAPHICS'!C28</f>
        <v>aaaaa11111aaaaa</v>
      </c>
      <c r="D28" s="112">
        <f>'2DEMOGRAPHICS'!D28</f>
        <v>44166</v>
      </c>
      <c r="E28" s="668" t="s">
        <v>173</v>
      </c>
      <c r="F28" s="672" t="s">
        <v>22</v>
      </c>
      <c r="G28" s="113">
        <f>'2DEMOGRAPHICS'!E28</f>
        <v>44170</v>
      </c>
      <c r="H28" s="686" t="s">
        <v>104</v>
      </c>
      <c r="I28" s="690"/>
      <c r="J28" s="686"/>
      <c r="K28" s="690"/>
      <c r="L28" s="686"/>
      <c r="M28" s="691"/>
      <c r="N28" s="686"/>
      <c r="O28" s="686"/>
      <c r="P28" s="690"/>
      <c r="Q28" s="690"/>
      <c r="R28" s="686"/>
      <c r="S28" s="686"/>
      <c r="T28" s="690"/>
      <c r="U28" s="690"/>
      <c r="V28" s="686"/>
      <c r="W28" s="686"/>
      <c r="X28" s="690"/>
      <c r="Y28" s="690"/>
      <c r="Z28" s="686"/>
      <c r="AA28" s="686"/>
      <c r="AB28" s="690"/>
      <c r="AC28" s="690"/>
      <c r="AD28" s="686"/>
      <c r="AE28" s="686"/>
      <c r="AF28" s="690"/>
      <c r="AG28" s="690"/>
      <c r="AH28" s="686"/>
      <c r="AI28" s="686"/>
      <c r="AJ28" s="690"/>
      <c r="AK28" s="690"/>
      <c r="AL28" s="686"/>
      <c r="AM28" s="686"/>
      <c r="AN28" s="690"/>
      <c r="AO28" s="687"/>
      <c r="AP28" s="664"/>
      <c r="AQ28" s="664"/>
      <c r="AR28" s="411" t="s">
        <v>104</v>
      </c>
      <c r="AS28" s="406">
        <v>44170</v>
      </c>
      <c r="AT28" s="412" t="s">
        <v>520</v>
      </c>
      <c r="AU28" s="398"/>
    </row>
    <row r="29" spans="1:55" ht="39.950000000000003" customHeight="1" x14ac:dyDescent="0.25">
      <c r="A29" s="18">
        <f t="shared" si="1"/>
        <v>17</v>
      </c>
      <c r="B29" s="110">
        <f>'2DEMOGRAPHICS'!B29</f>
        <v>17</v>
      </c>
      <c r="C29" s="111" t="str">
        <f>'2DEMOGRAPHICS'!C29</f>
        <v>aaaaa11111aaaaa</v>
      </c>
      <c r="D29" s="112">
        <f>'2DEMOGRAPHICS'!D29</f>
        <v>44197</v>
      </c>
      <c r="E29" s="668" t="s">
        <v>176</v>
      </c>
      <c r="F29" s="672" t="s">
        <v>22</v>
      </c>
      <c r="G29" s="113">
        <f>'2DEMOGRAPHICS'!E29</f>
        <v>44201</v>
      </c>
      <c r="H29" s="686" t="s">
        <v>100</v>
      </c>
      <c r="I29" s="690"/>
      <c r="J29" s="686"/>
      <c r="K29" s="690"/>
      <c r="L29" s="686"/>
      <c r="M29" s="691"/>
      <c r="N29" s="686"/>
      <c r="O29" s="686"/>
      <c r="P29" s="690"/>
      <c r="Q29" s="690"/>
      <c r="R29" s="686"/>
      <c r="S29" s="686"/>
      <c r="T29" s="690"/>
      <c r="U29" s="690"/>
      <c r="V29" s="686"/>
      <c r="W29" s="686"/>
      <c r="X29" s="690"/>
      <c r="Y29" s="690"/>
      <c r="Z29" s="686"/>
      <c r="AA29" s="686"/>
      <c r="AB29" s="690"/>
      <c r="AC29" s="690"/>
      <c r="AD29" s="686"/>
      <c r="AE29" s="686"/>
      <c r="AF29" s="690"/>
      <c r="AG29" s="690"/>
      <c r="AH29" s="686"/>
      <c r="AI29" s="686"/>
      <c r="AJ29" s="690"/>
      <c r="AK29" s="690"/>
      <c r="AL29" s="686"/>
      <c r="AM29" s="686"/>
      <c r="AN29" s="690"/>
      <c r="AO29" s="687"/>
      <c r="AP29" s="664"/>
      <c r="AQ29" s="664"/>
      <c r="AR29" s="411" t="s">
        <v>100</v>
      </c>
      <c r="AS29" s="406">
        <v>44201</v>
      </c>
      <c r="AT29" s="412" t="s">
        <v>518</v>
      </c>
      <c r="AU29" s="398"/>
    </row>
    <row r="30" spans="1:55" ht="39.950000000000003" customHeight="1" x14ac:dyDescent="0.25">
      <c r="A30" s="18">
        <f t="shared" si="1"/>
        <v>18</v>
      </c>
      <c r="B30" s="110">
        <f>'2DEMOGRAPHICS'!B30</f>
        <v>18</v>
      </c>
      <c r="C30" s="111" t="str">
        <f>'2DEMOGRAPHICS'!C30</f>
        <v>aaaaa11111aaaaa</v>
      </c>
      <c r="D30" s="112">
        <f>'2DEMOGRAPHICS'!D30</f>
        <v>44228</v>
      </c>
      <c r="E30" s="668" t="s">
        <v>180</v>
      </c>
      <c r="F30" s="672" t="s">
        <v>22</v>
      </c>
      <c r="G30" s="113">
        <f>'2DEMOGRAPHICS'!E30</f>
        <v>44230</v>
      </c>
      <c r="H30" s="686" t="s">
        <v>104</v>
      </c>
      <c r="I30" s="690"/>
      <c r="J30" s="686"/>
      <c r="K30" s="690"/>
      <c r="L30" s="686"/>
      <c r="M30" s="691"/>
      <c r="N30" s="686"/>
      <c r="O30" s="686"/>
      <c r="P30" s="690"/>
      <c r="Q30" s="690"/>
      <c r="R30" s="686"/>
      <c r="S30" s="686"/>
      <c r="T30" s="690"/>
      <c r="U30" s="690"/>
      <c r="V30" s="686"/>
      <c r="W30" s="686"/>
      <c r="X30" s="690"/>
      <c r="Y30" s="690"/>
      <c r="Z30" s="686"/>
      <c r="AA30" s="686"/>
      <c r="AB30" s="690"/>
      <c r="AC30" s="690"/>
      <c r="AD30" s="686"/>
      <c r="AE30" s="686"/>
      <c r="AF30" s="690"/>
      <c r="AG30" s="690"/>
      <c r="AH30" s="686"/>
      <c r="AI30" s="686"/>
      <c r="AJ30" s="690"/>
      <c r="AK30" s="690"/>
      <c r="AL30" s="686"/>
      <c r="AM30" s="686"/>
      <c r="AN30" s="690"/>
      <c r="AO30" s="687"/>
      <c r="AP30" s="664"/>
      <c r="AQ30" s="664"/>
      <c r="AR30" s="411" t="s">
        <v>104</v>
      </c>
      <c r="AS30" s="406">
        <v>44230</v>
      </c>
      <c r="AT30" s="412" t="s">
        <v>192</v>
      </c>
      <c r="AU30" s="398"/>
    </row>
    <row r="31" spans="1:55" ht="39.950000000000003" customHeight="1" x14ac:dyDescent="0.25">
      <c r="A31" s="18">
        <f t="shared" si="1"/>
        <v>19</v>
      </c>
      <c r="B31" s="110">
        <f>'2DEMOGRAPHICS'!B31</f>
        <v>19</v>
      </c>
      <c r="C31" s="111" t="str">
        <f>'2DEMOGRAPHICS'!C31</f>
        <v>aaaaa11111aaaaa</v>
      </c>
      <c r="D31" s="112">
        <f>'2DEMOGRAPHICS'!D31</f>
        <v>44256</v>
      </c>
      <c r="E31" s="668" t="s">
        <v>183</v>
      </c>
      <c r="F31" s="672" t="s">
        <v>22</v>
      </c>
      <c r="G31" s="113">
        <f>'2DEMOGRAPHICS'!E31</f>
        <v>44259</v>
      </c>
      <c r="H31" s="686" t="s">
        <v>100</v>
      </c>
      <c r="I31" s="690"/>
      <c r="J31" s="686"/>
      <c r="K31" s="690"/>
      <c r="L31" s="686"/>
      <c r="M31" s="691"/>
      <c r="N31" s="686"/>
      <c r="O31" s="686"/>
      <c r="P31" s="690"/>
      <c r="Q31" s="690"/>
      <c r="R31" s="686"/>
      <c r="S31" s="686"/>
      <c r="T31" s="690"/>
      <c r="U31" s="690"/>
      <c r="V31" s="686"/>
      <c r="W31" s="686"/>
      <c r="X31" s="690"/>
      <c r="Y31" s="690"/>
      <c r="Z31" s="686"/>
      <c r="AA31" s="686"/>
      <c r="AB31" s="690"/>
      <c r="AC31" s="690"/>
      <c r="AD31" s="686"/>
      <c r="AE31" s="686"/>
      <c r="AF31" s="690"/>
      <c r="AG31" s="690"/>
      <c r="AH31" s="686"/>
      <c r="AI31" s="686"/>
      <c r="AJ31" s="690"/>
      <c r="AK31" s="690"/>
      <c r="AL31" s="686"/>
      <c r="AM31" s="686"/>
      <c r="AN31" s="690"/>
      <c r="AO31" s="687"/>
      <c r="AP31" s="664"/>
      <c r="AQ31" s="664"/>
      <c r="AR31" s="411" t="s">
        <v>100</v>
      </c>
      <c r="AS31" s="406">
        <v>44259</v>
      </c>
      <c r="AT31" s="399" t="s">
        <v>522</v>
      </c>
      <c r="AU31" s="398"/>
    </row>
    <row r="32" spans="1:55" ht="39.950000000000003" customHeight="1" x14ac:dyDescent="0.25">
      <c r="A32" s="18">
        <f t="shared" si="1"/>
        <v>20</v>
      </c>
      <c r="B32" s="110">
        <f>'2DEMOGRAPHICS'!B32</f>
        <v>20</v>
      </c>
      <c r="C32" s="111" t="str">
        <f>'2DEMOGRAPHICS'!C32</f>
        <v>aaaaa11111aaaaa</v>
      </c>
      <c r="D32" s="112">
        <f>'2DEMOGRAPHICS'!D32</f>
        <v>44287</v>
      </c>
      <c r="E32" s="668" t="s">
        <v>186</v>
      </c>
      <c r="F32" s="672" t="s">
        <v>22</v>
      </c>
      <c r="G32" s="113">
        <f>'2DEMOGRAPHICS'!E32</f>
        <v>44291</v>
      </c>
      <c r="H32" s="686" t="s">
        <v>104</v>
      </c>
      <c r="I32" s="690"/>
      <c r="J32" s="686"/>
      <c r="K32" s="690"/>
      <c r="L32" s="686"/>
      <c r="M32" s="691"/>
      <c r="N32" s="686"/>
      <c r="O32" s="686"/>
      <c r="P32" s="690"/>
      <c r="Q32" s="690"/>
      <c r="R32" s="686"/>
      <c r="S32" s="686"/>
      <c r="T32" s="690"/>
      <c r="U32" s="690"/>
      <c r="V32" s="686"/>
      <c r="W32" s="686"/>
      <c r="X32" s="690"/>
      <c r="Y32" s="690"/>
      <c r="Z32" s="686"/>
      <c r="AA32" s="686"/>
      <c r="AB32" s="690"/>
      <c r="AC32" s="690"/>
      <c r="AD32" s="686"/>
      <c r="AE32" s="686"/>
      <c r="AF32" s="690"/>
      <c r="AG32" s="690"/>
      <c r="AH32" s="686"/>
      <c r="AI32" s="686"/>
      <c r="AJ32" s="690"/>
      <c r="AK32" s="690"/>
      <c r="AL32" s="686"/>
      <c r="AM32" s="686"/>
      <c r="AN32" s="690"/>
      <c r="AO32" s="687"/>
      <c r="AP32" s="664"/>
      <c r="AQ32" s="664"/>
      <c r="AR32" s="411" t="s">
        <v>104</v>
      </c>
      <c r="AS32" s="406">
        <v>44291</v>
      </c>
      <c r="AT32" s="412" t="s">
        <v>520</v>
      </c>
      <c r="AU32" s="398"/>
    </row>
    <row r="33" spans="1:47" ht="39.950000000000003" customHeight="1" x14ac:dyDescent="0.25">
      <c r="A33" s="18">
        <f t="shared" si="1"/>
        <v>21</v>
      </c>
      <c r="B33" s="110">
        <f>'2DEMOGRAPHICS'!B33</f>
        <v>21</v>
      </c>
      <c r="C33" s="111" t="str">
        <f>'2DEMOGRAPHICS'!C33</f>
        <v>aaaaa11111aaaaa</v>
      </c>
      <c r="D33" s="112">
        <f>'2DEMOGRAPHICS'!D33</f>
        <v>44317</v>
      </c>
      <c r="E33" s="668" t="s">
        <v>188</v>
      </c>
      <c r="F33" s="672" t="s">
        <v>22</v>
      </c>
      <c r="G33" s="113">
        <f>'2DEMOGRAPHICS'!E33</f>
        <v>44319</v>
      </c>
      <c r="H33" s="686" t="s">
        <v>100</v>
      </c>
      <c r="I33" s="690"/>
      <c r="J33" s="686"/>
      <c r="K33" s="690"/>
      <c r="L33" s="686"/>
      <c r="M33" s="691"/>
      <c r="N33" s="686"/>
      <c r="O33" s="686"/>
      <c r="P33" s="690"/>
      <c r="Q33" s="690"/>
      <c r="R33" s="686"/>
      <c r="S33" s="686"/>
      <c r="T33" s="690"/>
      <c r="U33" s="690"/>
      <c r="V33" s="686"/>
      <c r="W33" s="686"/>
      <c r="X33" s="690"/>
      <c r="Y33" s="690"/>
      <c r="Z33" s="686"/>
      <c r="AA33" s="686"/>
      <c r="AB33" s="690"/>
      <c r="AC33" s="690"/>
      <c r="AD33" s="686"/>
      <c r="AE33" s="686"/>
      <c r="AF33" s="690"/>
      <c r="AG33" s="690"/>
      <c r="AH33" s="686"/>
      <c r="AI33" s="686"/>
      <c r="AJ33" s="690"/>
      <c r="AK33" s="690"/>
      <c r="AL33" s="686"/>
      <c r="AM33" s="686"/>
      <c r="AN33" s="690"/>
      <c r="AO33" s="687"/>
      <c r="AP33" s="664"/>
      <c r="AQ33" s="664"/>
      <c r="AR33" s="411" t="s">
        <v>100</v>
      </c>
      <c r="AS33" s="406">
        <v>44319</v>
      </c>
      <c r="AT33" s="399" t="s">
        <v>522</v>
      </c>
      <c r="AU33" s="398"/>
    </row>
    <row r="34" spans="1:47" ht="39.950000000000003" customHeight="1" x14ac:dyDescent="0.25">
      <c r="A34" s="18">
        <f t="shared" si="1"/>
        <v>22</v>
      </c>
      <c r="B34" s="110">
        <f>'2DEMOGRAPHICS'!B34</f>
        <v>22</v>
      </c>
      <c r="C34" s="111" t="str">
        <f>'2DEMOGRAPHICS'!C34</f>
        <v>aaaaa11111aaaaa</v>
      </c>
      <c r="D34" s="112">
        <f>'2DEMOGRAPHICS'!D34</f>
        <v>44348</v>
      </c>
      <c r="E34" s="668" t="s">
        <v>190</v>
      </c>
      <c r="F34" s="672" t="s">
        <v>22</v>
      </c>
      <c r="G34" s="113">
        <f>'2DEMOGRAPHICS'!E34</f>
        <v>44351</v>
      </c>
      <c r="H34" s="686" t="s">
        <v>104</v>
      </c>
      <c r="I34" s="690"/>
      <c r="J34" s="686"/>
      <c r="K34" s="690"/>
      <c r="L34" s="686"/>
      <c r="M34" s="691"/>
      <c r="N34" s="686"/>
      <c r="O34" s="686"/>
      <c r="P34" s="690"/>
      <c r="Q34" s="690"/>
      <c r="R34" s="686"/>
      <c r="S34" s="686"/>
      <c r="T34" s="690"/>
      <c r="U34" s="690"/>
      <c r="V34" s="686"/>
      <c r="W34" s="686"/>
      <c r="X34" s="690"/>
      <c r="Y34" s="690"/>
      <c r="Z34" s="686"/>
      <c r="AA34" s="686"/>
      <c r="AB34" s="690"/>
      <c r="AC34" s="690"/>
      <c r="AD34" s="686"/>
      <c r="AE34" s="686"/>
      <c r="AF34" s="690"/>
      <c r="AG34" s="690"/>
      <c r="AH34" s="686"/>
      <c r="AI34" s="686"/>
      <c r="AJ34" s="690"/>
      <c r="AK34" s="690"/>
      <c r="AL34" s="686"/>
      <c r="AM34" s="686"/>
      <c r="AN34" s="690"/>
      <c r="AO34" s="687"/>
      <c r="AP34" s="664"/>
      <c r="AQ34" s="664"/>
      <c r="AR34" s="411" t="s">
        <v>104</v>
      </c>
      <c r="AS34" s="406">
        <v>44351</v>
      </c>
      <c r="AT34" s="412" t="s">
        <v>520</v>
      </c>
      <c r="AU34" s="398"/>
    </row>
    <row r="35" spans="1:47" ht="39.950000000000003" customHeight="1" x14ac:dyDescent="0.25">
      <c r="A35" s="18">
        <f t="shared" si="1"/>
        <v>23</v>
      </c>
      <c r="B35" s="110">
        <f>'2DEMOGRAPHICS'!B35</f>
        <v>23</v>
      </c>
      <c r="C35" s="111" t="str">
        <f>'2DEMOGRAPHICS'!C35</f>
        <v>aaaaa11111aaaaa</v>
      </c>
      <c r="D35" s="112">
        <f>'2DEMOGRAPHICS'!D35</f>
        <v>44378</v>
      </c>
      <c r="E35" s="667" t="s">
        <v>139</v>
      </c>
      <c r="F35" s="672" t="s">
        <v>22</v>
      </c>
      <c r="G35" s="113">
        <f>'2DEMOGRAPHICS'!E35</f>
        <v>44379</v>
      </c>
      <c r="H35" s="686" t="s">
        <v>100</v>
      </c>
      <c r="I35" s="690"/>
      <c r="J35" s="686"/>
      <c r="K35" s="690"/>
      <c r="L35" s="686"/>
      <c r="M35" s="691"/>
      <c r="N35" s="686"/>
      <c r="O35" s="686"/>
      <c r="P35" s="690"/>
      <c r="Q35" s="690"/>
      <c r="R35" s="686"/>
      <c r="S35" s="686"/>
      <c r="T35" s="690"/>
      <c r="U35" s="690"/>
      <c r="V35" s="686"/>
      <c r="W35" s="686"/>
      <c r="X35" s="690"/>
      <c r="Y35" s="690"/>
      <c r="Z35" s="686"/>
      <c r="AA35" s="686"/>
      <c r="AB35" s="690"/>
      <c r="AC35" s="690"/>
      <c r="AD35" s="686"/>
      <c r="AE35" s="686"/>
      <c r="AF35" s="690"/>
      <c r="AG35" s="690"/>
      <c r="AH35" s="686"/>
      <c r="AI35" s="686"/>
      <c r="AJ35" s="690"/>
      <c r="AK35" s="690"/>
      <c r="AL35" s="686"/>
      <c r="AM35" s="686"/>
      <c r="AN35" s="690"/>
      <c r="AO35" s="687"/>
      <c r="AP35" s="664"/>
      <c r="AQ35" s="664"/>
      <c r="AR35" s="411" t="s">
        <v>100</v>
      </c>
      <c r="AS35" s="406">
        <v>44379</v>
      </c>
      <c r="AT35" s="412" t="s">
        <v>518</v>
      </c>
      <c r="AU35" s="398"/>
    </row>
    <row r="36" spans="1:47" ht="39.950000000000003" customHeight="1" x14ac:dyDescent="0.25">
      <c r="A36" s="18">
        <f t="shared" si="1"/>
        <v>24</v>
      </c>
      <c r="B36" s="110">
        <f>'2DEMOGRAPHICS'!B36</f>
        <v>24</v>
      </c>
      <c r="C36" s="111" t="str">
        <f>'2DEMOGRAPHICS'!C36</f>
        <v>aaaaa11111aaaaa</v>
      </c>
      <c r="D36" s="112">
        <f>'2DEMOGRAPHICS'!D36</f>
        <v>44409</v>
      </c>
      <c r="E36" s="668" t="s">
        <v>166</v>
      </c>
      <c r="F36" s="672" t="s">
        <v>22</v>
      </c>
      <c r="G36" s="113">
        <f>'2DEMOGRAPHICS'!E36</f>
        <v>44412</v>
      </c>
      <c r="H36" s="686" t="s">
        <v>104</v>
      </c>
      <c r="I36" s="690"/>
      <c r="J36" s="686"/>
      <c r="K36" s="690"/>
      <c r="L36" s="686"/>
      <c r="M36" s="691"/>
      <c r="N36" s="686"/>
      <c r="O36" s="686"/>
      <c r="P36" s="690"/>
      <c r="Q36" s="690"/>
      <c r="R36" s="686"/>
      <c r="S36" s="686"/>
      <c r="T36" s="690"/>
      <c r="U36" s="690"/>
      <c r="V36" s="686"/>
      <c r="W36" s="686"/>
      <c r="X36" s="690"/>
      <c r="Y36" s="690"/>
      <c r="Z36" s="686"/>
      <c r="AA36" s="686"/>
      <c r="AB36" s="690"/>
      <c r="AC36" s="690"/>
      <c r="AD36" s="686"/>
      <c r="AE36" s="686"/>
      <c r="AF36" s="690"/>
      <c r="AG36" s="690"/>
      <c r="AH36" s="686"/>
      <c r="AI36" s="686"/>
      <c r="AJ36" s="690"/>
      <c r="AK36" s="690"/>
      <c r="AL36" s="686"/>
      <c r="AM36" s="686"/>
      <c r="AN36" s="690"/>
      <c r="AO36" s="687"/>
      <c r="AP36" s="664"/>
      <c r="AQ36" s="664"/>
      <c r="AR36" s="411" t="s">
        <v>104</v>
      </c>
      <c r="AS36" s="406">
        <v>44412</v>
      </c>
      <c r="AT36" s="412" t="s">
        <v>192</v>
      </c>
      <c r="AU36" s="398"/>
    </row>
    <row r="37" spans="1:47" ht="39.950000000000003" customHeight="1" x14ac:dyDescent="0.25">
      <c r="A37" s="18">
        <f t="shared" si="1"/>
        <v>25</v>
      </c>
      <c r="B37" s="110">
        <f>'2DEMOGRAPHICS'!B37</f>
        <v>25</v>
      </c>
      <c r="C37" s="111" t="str">
        <f>'2DEMOGRAPHICS'!C37</f>
        <v>aaaaa11111aaaaa</v>
      </c>
      <c r="D37" s="112">
        <f>'2DEMOGRAPHICS'!D37</f>
        <v>44075</v>
      </c>
      <c r="E37" s="668" t="s">
        <v>167</v>
      </c>
      <c r="F37" s="672" t="s">
        <v>22</v>
      </c>
      <c r="G37" s="113">
        <f>'2DEMOGRAPHICS'!E37</f>
        <v>44077</v>
      </c>
      <c r="H37" s="686" t="s">
        <v>100</v>
      </c>
      <c r="I37" s="690"/>
      <c r="J37" s="686"/>
      <c r="K37" s="690"/>
      <c r="L37" s="686"/>
      <c r="M37" s="691"/>
      <c r="N37" s="686"/>
      <c r="O37" s="686"/>
      <c r="P37" s="690"/>
      <c r="Q37" s="690"/>
      <c r="R37" s="686"/>
      <c r="S37" s="686"/>
      <c r="T37" s="690"/>
      <c r="U37" s="690"/>
      <c r="V37" s="686"/>
      <c r="W37" s="686"/>
      <c r="X37" s="690"/>
      <c r="Y37" s="690"/>
      <c r="Z37" s="686"/>
      <c r="AA37" s="686"/>
      <c r="AB37" s="690"/>
      <c r="AC37" s="690"/>
      <c r="AD37" s="686"/>
      <c r="AE37" s="686"/>
      <c r="AF37" s="690"/>
      <c r="AG37" s="690"/>
      <c r="AH37" s="686"/>
      <c r="AI37" s="686"/>
      <c r="AJ37" s="690"/>
      <c r="AK37" s="690"/>
      <c r="AL37" s="686"/>
      <c r="AM37" s="686"/>
      <c r="AN37" s="690"/>
      <c r="AO37" s="687"/>
      <c r="AP37" s="664"/>
      <c r="AQ37" s="664"/>
      <c r="AR37" s="411" t="s">
        <v>100</v>
      </c>
      <c r="AS37" s="406">
        <v>44077</v>
      </c>
      <c r="AT37" s="399" t="s">
        <v>522</v>
      </c>
      <c r="AU37" s="398"/>
    </row>
    <row r="38" spans="1:47" ht="39.950000000000003" customHeight="1" x14ac:dyDescent="0.25">
      <c r="A38" s="18">
        <f t="shared" si="1"/>
        <v>26</v>
      </c>
      <c r="B38" s="110">
        <f>'2DEMOGRAPHICS'!B38</f>
        <v>26</v>
      </c>
      <c r="C38" s="111" t="str">
        <f>'2DEMOGRAPHICS'!C38</f>
        <v>aaaaa11111aaaaa</v>
      </c>
      <c r="D38" s="112">
        <f>'2DEMOGRAPHICS'!D38</f>
        <v>44105</v>
      </c>
      <c r="E38" s="668" t="s">
        <v>170</v>
      </c>
      <c r="F38" s="672" t="s">
        <v>22</v>
      </c>
      <c r="G38" s="113">
        <f>'2DEMOGRAPHICS'!E38</f>
        <v>44077</v>
      </c>
      <c r="H38" s="686" t="s">
        <v>104</v>
      </c>
      <c r="I38" s="690"/>
      <c r="J38" s="686"/>
      <c r="K38" s="690"/>
      <c r="L38" s="686"/>
      <c r="M38" s="691"/>
      <c r="N38" s="686"/>
      <c r="O38" s="686"/>
      <c r="P38" s="690"/>
      <c r="Q38" s="690"/>
      <c r="R38" s="686"/>
      <c r="S38" s="686"/>
      <c r="T38" s="690"/>
      <c r="U38" s="690"/>
      <c r="V38" s="686"/>
      <c r="W38" s="686"/>
      <c r="X38" s="690"/>
      <c r="Y38" s="690"/>
      <c r="Z38" s="686"/>
      <c r="AA38" s="686"/>
      <c r="AB38" s="690"/>
      <c r="AC38" s="690"/>
      <c r="AD38" s="686"/>
      <c r="AE38" s="686"/>
      <c r="AF38" s="690"/>
      <c r="AG38" s="690"/>
      <c r="AH38" s="686"/>
      <c r="AI38" s="686"/>
      <c r="AJ38" s="690"/>
      <c r="AK38" s="690"/>
      <c r="AL38" s="686"/>
      <c r="AM38" s="686"/>
      <c r="AN38" s="690"/>
      <c r="AO38" s="687"/>
      <c r="AP38" s="664"/>
      <c r="AQ38" s="664"/>
      <c r="AR38" s="411" t="s">
        <v>104</v>
      </c>
      <c r="AS38" s="406">
        <v>44107</v>
      </c>
      <c r="AT38" s="412" t="s">
        <v>520</v>
      </c>
      <c r="AU38" s="398"/>
    </row>
    <row r="39" spans="1:47" ht="39.950000000000003" customHeight="1" x14ac:dyDescent="0.25">
      <c r="A39" s="18">
        <f t="shared" si="1"/>
        <v>27</v>
      </c>
      <c r="B39" s="110">
        <f>'2DEMOGRAPHICS'!B39</f>
        <v>27</v>
      </c>
      <c r="C39" s="111" t="str">
        <f>'2DEMOGRAPHICS'!C39</f>
        <v>aaaaa11111aaaaa</v>
      </c>
      <c r="D39" s="112">
        <f>'2DEMOGRAPHICS'!D39</f>
        <v>44136</v>
      </c>
      <c r="E39" s="668" t="s">
        <v>173</v>
      </c>
      <c r="F39" s="672" t="s">
        <v>22</v>
      </c>
      <c r="G39" s="113">
        <f>'2DEMOGRAPHICS'!E39</f>
        <v>44137</v>
      </c>
      <c r="H39" s="686" t="s">
        <v>100</v>
      </c>
      <c r="I39" s="690"/>
      <c r="J39" s="686"/>
      <c r="K39" s="690"/>
      <c r="L39" s="686"/>
      <c r="M39" s="691"/>
      <c r="N39" s="686"/>
      <c r="O39" s="686"/>
      <c r="P39" s="690"/>
      <c r="Q39" s="690"/>
      <c r="R39" s="686"/>
      <c r="S39" s="686"/>
      <c r="T39" s="690"/>
      <c r="U39" s="690"/>
      <c r="V39" s="686"/>
      <c r="W39" s="686"/>
      <c r="X39" s="690"/>
      <c r="Y39" s="690"/>
      <c r="Z39" s="686"/>
      <c r="AA39" s="686"/>
      <c r="AB39" s="690"/>
      <c r="AC39" s="690"/>
      <c r="AD39" s="686"/>
      <c r="AE39" s="686"/>
      <c r="AF39" s="690"/>
      <c r="AG39" s="690"/>
      <c r="AH39" s="686"/>
      <c r="AI39" s="686"/>
      <c r="AJ39" s="690"/>
      <c r="AK39" s="690"/>
      <c r="AL39" s="686"/>
      <c r="AM39" s="686"/>
      <c r="AN39" s="690"/>
      <c r="AO39" s="687"/>
      <c r="AP39" s="664"/>
      <c r="AQ39" s="664"/>
      <c r="AR39" s="411" t="s">
        <v>100</v>
      </c>
      <c r="AS39" s="406">
        <v>44137</v>
      </c>
      <c r="AT39" s="412" t="s">
        <v>518</v>
      </c>
      <c r="AU39" s="398"/>
    </row>
    <row r="40" spans="1:47" ht="39.950000000000003" customHeight="1" x14ac:dyDescent="0.25">
      <c r="A40" s="18">
        <f t="shared" si="1"/>
        <v>28</v>
      </c>
      <c r="B40" s="110">
        <f>'2DEMOGRAPHICS'!B40</f>
        <v>28</v>
      </c>
      <c r="C40" s="111" t="str">
        <f>'2DEMOGRAPHICS'!C40</f>
        <v>aaaaa11111aaaaa</v>
      </c>
      <c r="D40" s="112">
        <f>'2DEMOGRAPHICS'!D40</f>
        <v>44166</v>
      </c>
      <c r="E40" s="668" t="s">
        <v>176</v>
      </c>
      <c r="F40" s="672" t="s">
        <v>22</v>
      </c>
      <c r="G40" s="113">
        <f>'2DEMOGRAPHICS'!E40</f>
        <v>44170</v>
      </c>
      <c r="H40" s="686" t="s">
        <v>104</v>
      </c>
      <c r="I40" s="690"/>
      <c r="J40" s="686"/>
      <c r="K40" s="690"/>
      <c r="L40" s="686"/>
      <c r="M40" s="691"/>
      <c r="N40" s="686"/>
      <c r="O40" s="686"/>
      <c r="P40" s="690"/>
      <c r="Q40" s="690"/>
      <c r="R40" s="686"/>
      <c r="S40" s="686"/>
      <c r="T40" s="690"/>
      <c r="U40" s="690"/>
      <c r="V40" s="686"/>
      <c r="W40" s="686"/>
      <c r="X40" s="690"/>
      <c r="Y40" s="690"/>
      <c r="Z40" s="686"/>
      <c r="AA40" s="686"/>
      <c r="AB40" s="690"/>
      <c r="AC40" s="690"/>
      <c r="AD40" s="686"/>
      <c r="AE40" s="686"/>
      <c r="AF40" s="690"/>
      <c r="AG40" s="690"/>
      <c r="AH40" s="686"/>
      <c r="AI40" s="686"/>
      <c r="AJ40" s="690"/>
      <c r="AK40" s="690"/>
      <c r="AL40" s="686"/>
      <c r="AM40" s="686"/>
      <c r="AN40" s="690"/>
      <c r="AO40" s="687"/>
      <c r="AP40" s="664"/>
      <c r="AQ40" s="664"/>
      <c r="AR40" s="411" t="s">
        <v>104</v>
      </c>
      <c r="AS40" s="406">
        <v>44170</v>
      </c>
      <c r="AT40" s="412" t="s">
        <v>192</v>
      </c>
      <c r="AU40" s="398"/>
    </row>
    <row r="41" spans="1:47" ht="39.950000000000003" customHeight="1" x14ac:dyDescent="0.25">
      <c r="A41" s="18">
        <f t="shared" si="1"/>
        <v>29</v>
      </c>
      <c r="B41" s="110">
        <f>'2DEMOGRAPHICS'!B41</f>
        <v>29</v>
      </c>
      <c r="C41" s="111" t="str">
        <f>'2DEMOGRAPHICS'!C41</f>
        <v>aaaaa11111aaaaa</v>
      </c>
      <c r="D41" s="112">
        <f>'2DEMOGRAPHICS'!D41</f>
        <v>44197</v>
      </c>
      <c r="E41" s="668" t="s">
        <v>180</v>
      </c>
      <c r="F41" s="672" t="s">
        <v>22</v>
      </c>
      <c r="G41" s="113">
        <f>'2DEMOGRAPHICS'!E41</f>
        <v>44201</v>
      </c>
      <c r="H41" s="686" t="s">
        <v>100</v>
      </c>
      <c r="I41" s="690"/>
      <c r="J41" s="686"/>
      <c r="K41" s="690"/>
      <c r="L41" s="686"/>
      <c r="M41" s="691"/>
      <c r="N41" s="686"/>
      <c r="O41" s="686"/>
      <c r="P41" s="690"/>
      <c r="Q41" s="690"/>
      <c r="R41" s="686"/>
      <c r="S41" s="686"/>
      <c r="T41" s="690"/>
      <c r="U41" s="690"/>
      <c r="V41" s="686"/>
      <c r="W41" s="686"/>
      <c r="X41" s="690"/>
      <c r="Y41" s="690"/>
      <c r="Z41" s="686"/>
      <c r="AA41" s="686"/>
      <c r="AB41" s="690"/>
      <c r="AC41" s="690"/>
      <c r="AD41" s="686"/>
      <c r="AE41" s="686"/>
      <c r="AF41" s="690"/>
      <c r="AG41" s="690"/>
      <c r="AH41" s="686"/>
      <c r="AI41" s="686"/>
      <c r="AJ41" s="690"/>
      <c r="AK41" s="690"/>
      <c r="AL41" s="686"/>
      <c r="AM41" s="686"/>
      <c r="AN41" s="690"/>
      <c r="AO41" s="687"/>
      <c r="AP41" s="664"/>
      <c r="AQ41" s="664"/>
      <c r="AR41" s="411" t="s">
        <v>100</v>
      </c>
      <c r="AS41" s="406">
        <v>44201</v>
      </c>
      <c r="AT41" s="399" t="s">
        <v>522</v>
      </c>
      <c r="AU41" s="398"/>
    </row>
    <row r="42" spans="1:47" ht="39.950000000000003" customHeight="1" x14ac:dyDescent="0.25">
      <c r="A42" s="18">
        <f t="shared" si="1"/>
        <v>30</v>
      </c>
      <c r="B42" s="110">
        <f>'2DEMOGRAPHICS'!B42</f>
        <v>30</v>
      </c>
      <c r="C42" s="111" t="str">
        <f>'2DEMOGRAPHICS'!C42</f>
        <v>aaaaa11111aaaaa</v>
      </c>
      <c r="D42" s="112">
        <f>'2DEMOGRAPHICS'!D42</f>
        <v>44228</v>
      </c>
      <c r="E42" s="668" t="s">
        <v>183</v>
      </c>
      <c r="F42" s="672" t="s">
        <v>22</v>
      </c>
      <c r="G42" s="113">
        <f>'2DEMOGRAPHICS'!E42</f>
        <v>44230</v>
      </c>
      <c r="H42" s="686" t="s">
        <v>104</v>
      </c>
      <c r="I42" s="690"/>
      <c r="J42" s="686"/>
      <c r="K42" s="690"/>
      <c r="L42" s="686"/>
      <c r="M42" s="691"/>
      <c r="N42" s="686"/>
      <c r="O42" s="686"/>
      <c r="P42" s="690"/>
      <c r="Q42" s="690"/>
      <c r="R42" s="686"/>
      <c r="S42" s="686"/>
      <c r="T42" s="690"/>
      <c r="U42" s="690"/>
      <c r="V42" s="686"/>
      <c r="W42" s="686"/>
      <c r="X42" s="690"/>
      <c r="Y42" s="690"/>
      <c r="Z42" s="686"/>
      <c r="AA42" s="686"/>
      <c r="AB42" s="690"/>
      <c r="AC42" s="690"/>
      <c r="AD42" s="686"/>
      <c r="AE42" s="686"/>
      <c r="AF42" s="690"/>
      <c r="AG42" s="690"/>
      <c r="AH42" s="686"/>
      <c r="AI42" s="686"/>
      <c r="AJ42" s="690"/>
      <c r="AK42" s="690"/>
      <c r="AL42" s="686"/>
      <c r="AM42" s="686"/>
      <c r="AN42" s="690"/>
      <c r="AO42" s="687"/>
      <c r="AP42" s="664"/>
      <c r="AQ42" s="664"/>
      <c r="AR42" s="411" t="s">
        <v>104</v>
      </c>
      <c r="AS42" s="406">
        <v>44230</v>
      </c>
      <c r="AT42" s="412" t="s">
        <v>520</v>
      </c>
      <c r="AU42" s="398"/>
    </row>
    <row r="43" spans="1:47" ht="39.950000000000003" customHeight="1" x14ac:dyDescent="0.25">
      <c r="A43" s="18">
        <f t="shared" si="1"/>
        <v>31</v>
      </c>
      <c r="B43" s="110">
        <f>'2DEMOGRAPHICS'!B43</f>
        <v>31</v>
      </c>
      <c r="C43" s="111" t="str">
        <f>'2DEMOGRAPHICS'!C43</f>
        <v>aaaaa11111aaaaa</v>
      </c>
      <c r="D43" s="112">
        <f>'2DEMOGRAPHICS'!D43</f>
        <v>44256</v>
      </c>
      <c r="E43" s="668" t="s">
        <v>186</v>
      </c>
      <c r="F43" s="672" t="s">
        <v>22</v>
      </c>
      <c r="G43" s="113">
        <f>'2DEMOGRAPHICS'!E43</f>
        <v>44259</v>
      </c>
      <c r="H43" s="686" t="s">
        <v>100</v>
      </c>
      <c r="I43" s="690"/>
      <c r="J43" s="686"/>
      <c r="K43" s="690"/>
      <c r="L43" s="686"/>
      <c r="M43" s="691"/>
      <c r="N43" s="686"/>
      <c r="O43" s="686"/>
      <c r="P43" s="690"/>
      <c r="Q43" s="690"/>
      <c r="R43" s="686"/>
      <c r="S43" s="686"/>
      <c r="T43" s="690"/>
      <c r="U43" s="690"/>
      <c r="V43" s="686"/>
      <c r="W43" s="686"/>
      <c r="X43" s="690"/>
      <c r="Y43" s="690"/>
      <c r="Z43" s="686"/>
      <c r="AA43" s="686"/>
      <c r="AB43" s="690"/>
      <c r="AC43" s="690"/>
      <c r="AD43" s="686"/>
      <c r="AE43" s="686"/>
      <c r="AF43" s="690"/>
      <c r="AG43" s="690"/>
      <c r="AH43" s="686"/>
      <c r="AI43" s="686"/>
      <c r="AJ43" s="690"/>
      <c r="AK43" s="690"/>
      <c r="AL43" s="686"/>
      <c r="AM43" s="686"/>
      <c r="AN43" s="690"/>
      <c r="AO43" s="687"/>
      <c r="AP43" s="664"/>
      <c r="AQ43" s="664"/>
      <c r="AR43" s="411" t="s">
        <v>100</v>
      </c>
      <c r="AS43" s="406">
        <v>44259</v>
      </c>
      <c r="AT43" s="399" t="s">
        <v>522</v>
      </c>
      <c r="AU43" s="398"/>
    </row>
    <row r="44" spans="1:47" ht="39.950000000000003" customHeight="1" x14ac:dyDescent="0.25">
      <c r="A44" s="18">
        <f t="shared" si="1"/>
        <v>32</v>
      </c>
      <c r="B44" s="110">
        <f>'2DEMOGRAPHICS'!B44</f>
        <v>32</v>
      </c>
      <c r="C44" s="111" t="str">
        <f>'2DEMOGRAPHICS'!C44</f>
        <v>aaaaa11111aaaaa</v>
      </c>
      <c r="D44" s="112">
        <f>'2DEMOGRAPHICS'!D44</f>
        <v>44287</v>
      </c>
      <c r="E44" s="668" t="s">
        <v>188</v>
      </c>
      <c r="F44" s="672" t="s">
        <v>22</v>
      </c>
      <c r="G44" s="113">
        <f>'2DEMOGRAPHICS'!E44</f>
        <v>44291</v>
      </c>
      <c r="H44" s="686" t="s">
        <v>104</v>
      </c>
      <c r="I44" s="690"/>
      <c r="J44" s="686"/>
      <c r="K44" s="690"/>
      <c r="L44" s="686"/>
      <c r="M44" s="691"/>
      <c r="N44" s="686"/>
      <c r="O44" s="686"/>
      <c r="P44" s="690"/>
      <c r="Q44" s="690"/>
      <c r="R44" s="686"/>
      <c r="S44" s="686"/>
      <c r="T44" s="690"/>
      <c r="U44" s="690"/>
      <c r="V44" s="686"/>
      <c r="W44" s="686"/>
      <c r="X44" s="690"/>
      <c r="Y44" s="690"/>
      <c r="Z44" s="686"/>
      <c r="AA44" s="686"/>
      <c r="AB44" s="690"/>
      <c r="AC44" s="690"/>
      <c r="AD44" s="686"/>
      <c r="AE44" s="686"/>
      <c r="AF44" s="690"/>
      <c r="AG44" s="690"/>
      <c r="AH44" s="686"/>
      <c r="AI44" s="686"/>
      <c r="AJ44" s="690"/>
      <c r="AK44" s="690"/>
      <c r="AL44" s="686"/>
      <c r="AM44" s="686"/>
      <c r="AN44" s="690"/>
      <c r="AO44" s="687"/>
      <c r="AP44" s="664"/>
      <c r="AQ44" s="664"/>
      <c r="AR44" s="411" t="s">
        <v>104</v>
      </c>
      <c r="AS44" s="406">
        <v>44291</v>
      </c>
      <c r="AT44" s="412" t="s">
        <v>520</v>
      </c>
      <c r="AU44" s="398"/>
    </row>
    <row r="45" spans="1:47" ht="39.950000000000003" customHeight="1" x14ac:dyDescent="0.25">
      <c r="A45" s="18">
        <f t="shared" si="1"/>
        <v>33</v>
      </c>
      <c r="B45" s="110">
        <f>'2DEMOGRAPHICS'!B45</f>
        <v>33</v>
      </c>
      <c r="C45" s="111" t="str">
        <f>'2DEMOGRAPHICS'!C45</f>
        <v>aaaaa11111aaaaa</v>
      </c>
      <c r="D45" s="112">
        <f>'2DEMOGRAPHICS'!D45</f>
        <v>44317</v>
      </c>
      <c r="E45" s="668" t="s">
        <v>190</v>
      </c>
      <c r="F45" s="672" t="s">
        <v>22</v>
      </c>
      <c r="G45" s="113">
        <f>'2DEMOGRAPHICS'!E45</f>
        <v>44319</v>
      </c>
      <c r="H45" s="686" t="s">
        <v>100</v>
      </c>
      <c r="I45" s="690"/>
      <c r="J45" s="686"/>
      <c r="K45" s="690"/>
      <c r="L45" s="686"/>
      <c r="M45" s="691"/>
      <c r="N45" s="686"/>
      <c r="O45" s="686"/>
      <c r="P45" s="690"/>
      <c r="Q45" s="690"/>
      <c r="R45" s="686"/>
      <c r="S45" s="686"/>
      <c r="T45" s="690"/>
      <c r="U45" s="690"/>
      <c r="V45" s="686"/>
      <c r="W45" s="686"/>
      <c r="X45" s="690"/>
      <c r="Y45" s="690"/>
      <c r="Z45" s="686"/>
      <c r="AA45" s="686"/>
      <c r="AB45" s="690"/>
      <c r="AC45" s="690"/>
      <c r="AD45" s="686"/>
      <c r="AE45" s="686"/>
      <c r="AF45" s="690"/>
      <c r="AG45" s="690"/>
      <c r="AH45" s="686"/>
      <c r="AI45" s="686"/>
      <c r="AJ45" s="690"/>
      <c r="AK45" s="690"/>
      <c r="AL45" s="686"/>
      <c r="AM45" s="686"/>
      <c r="AN45" s="690"/>
      <c r="AO45" s="687"/>
      <c r="AP45" s="664"/>
      <c r="AQ45" s="664"/>
      <c r="AR45" s="411" t="s">
        <v>100</v>
      </c>
      <c r="AS45" s="406">
        <v>44319</v>
      </c>
      <c r="AT45" s="412" t="s">
        <v>518</v>
      </c>
      <c r="AU45" s="398"/>
    </row>
    <row r="46" spans="1:47" ht="39.950000000000003" customHeight="1" x14ac:dyDescent="0.25">
      <c r="A46" s="18">
        <f t="shared" si="1"/>
        <v>34</v>
      </c>
      <c r="B46" s="110">
        <f>'2DEMOGRAPHICS'!B46</f>
        <v>34</v>
      </c>
      <c r="C46" s="111" t="str">
        <f>'2DEMOGRAPHICS'!C46</f>
        <v>aaaaa11111aaaaa</v>
      </c>
      <c r="D46" s="112">
        <f>'2DEMOGRAPHICS'!D46</f>
        <v>44348</v>
      </c>
      <c r="E46" s="667" t="s">
        <v>139</v>
      </c>
      <c r="F46" s="672" t="s">
        <v>22</v>
      </c>
      <c r="G46" s="113">
        <f>'2DEMOGRAPHICS'!E46</f>
        <v>44351</v>
      </c>
      <c r="H46" s="686" t="s">
        <v>104</v>
      </c>
      <c r="I46" s="690"/>
      <c r="J46" s="686"/>
      <c r="K46" s="690"/>
      <c r="L46" s="686"/>
      <c r="M46" s="691"/>
      <c r="N46" s="686"/>
      <c r="O46" s="686"/>
      <c r="P46" s="690"/>
      <c r="Q46" s="690"/>
      <c r="R46" s="686"/>
      <c r="S46" s="686"/>
      <c r="T46" s="690"/>
      <c r="U46" s="690"/>
      <c r="V46" s="686"/>
      <c r="W46" s="686"/>
      <c r="X46" s="690"/>
      <c r="Y46" s="690"/>
      <c r="Z46" s="686"/>
      <c r="AA46" s="686"/>
      <c r="AB46" s="690"/>
      <c r="AC46" s="690"/>
      <c r="AD46" s="686"/>
      <c r="AE46" s="686"/>
      <c r="AF46" s="690"/>
      <c r="AG46" s="690"/>
      <c r="AH46" s="686"/>
      <c r="AI46" s="686"/>
      <c r="AJ46" s="690"/>
      <c r="AK46" s="690"/>
      <c r="AL46" s="686"/>
      <c r="AM46" s="686"/>
      <c r="AN46" s="690"/>
      <c r="AO46" s="687"/>
      <c r="AP46" s="664"/>
      <c r="AQ46" s="664"/>
      <c r="AR46" s="411" t="s">
        <v>104</v>
      </c>
      <c r="AS46" s="406">
        <v>44351</v>
      </c>
      <c r="AT46" s="412" t="s">
        <v>192</v>
      </c>
      <c r="AU46" s="398"/>
    </row>
    <row r="47" spans="1:47" ht="39.950000000000003" customHeight="1" x14ac:dyDescent="0.25">
      <c r="A47" s="18">
        <f t="shared" si="1"/>
        <v>35</v>
      </c>
      <c r="B47" s="110">
        <f>'2DEMOGRAPHICS'!B47</f>
        <v>35</v>
      </c>
      <c r="C47" s="111" t="str">
        <f>'2DEMOGRAPHICS'!C47</f>
        <v>aaaaa11111aaaaa</v>
      </c>
      <c r="D47" s="112">
        <f>'2DEMOGRAPHICS'!D47</f>
        <v>44378</v>
      </c>
      <c r="E47" s="668" t="s">
        <v>166</v>
      </c>
      <c r="F47" s="672" t="s">
        <v>22</v>
      </c>
      <c r="G47" s="113">
        <f>'2DEMOGRAPHICS'!E47</f>
        <v>44379</v>
      </c>
      <c r="H47" s="686" t="s">
        <v>100</v>
      </c>
      <c r="I47" s="690"/>
      <c r="J47" s="686"/>
      <c r="K47" s="690"/>
      <c r="L47" s="686"/>
      <c r="M47" s="691"/>
      <c r="N47" s="686"/>
      <c r="O47" s="686"/>
      <c r="P47" s="690"/>
      <c r="Q47" s="690"/>
      <c r="R47" s="686"/>
      <c r="S47" s="686"/>
      <c r="T47" s="690"/>
      <c r="U47" s="690"/>
      <c r="V47" s="686"/>
      <c r="W47" s="686"/>
      <c r="X47" s="690"/>
      <c r="Y47" s="690"/>
      <c r="Z47" s="686"/>
      <c r="AA47" s="686"/>
      <c r="AB47" s="690"/>
      <c r="AC47" s="690"/>
      <c r="AD47" s="686"/>
      <c r="AE47" s="686"/>
      <c r="AF47" s="690"/>
      <c r="AG47" s="690"/>
      <c r="AH47" s="686"/>
      <c r="AI47" s="686"/>
      <c r="AJ47" s="690"/>
      <c r="AK47" s="690"/>
      <c r="AL47" s="686"/>
      <c r="AM47" s="686"/>
      <c r="AN47" s="690"/>
      <c r="AO47" s="687"/>
      <c r="AP47" s="664"/>
      <c r="AQ47" s="664"/>
      <c r="AR47" s="411" t="s">
        <v>100</v>
      </c>
      <c r="AS47" s="406">
        <v>44379</v>
      </c>
      <c r="AT47" s="399" t="s">
        <v>522</v>
      </c>
      <c r="AU47" s="398"/>
    </row>
    <row r="48" spans="1:47" ht="39.950000000000003" customHeight="1" x14ac:dyDescent="0.25">
      <c r="A48" s="18">
        <f t="shared" si="1"/>
        <v>36</v>
      </c>
      <c r="B48" s="110">
        <f>'2DEMOGRAPHICS'!B48</f>
        <v>36</v>
      </c>
      <c r="C48" s="111" t="str">
        <f>'2DEMOGRAPHICS'!C48</f>
        <v>aaaaa11111aaaaa</v>
      </c>
      <c r="D48" s="112">
        <f>'2DEMOGRAPHICS'!D48</f>
        <v>44409</v>
      </c>
      <c r="E48" s="668" t="s">
        <v>167</v>
      </c>
      <c r="F48" s="672" t="s">
        <v>22</v>
      </c>
      <c r="G48" s="113">
        <f>'2DEMOGRAPHICS'!E48</f>
        <v>44412</v>
      </c>
      <c r="H48" s="686" t="s">
        <v>104</v>
      </c>
      <c r="I48" s="690"/>
      <c r="J48" s="686"/>
      <c r="K48" s="690"/>
      <c r="L48" s="686"/>
      <c r="M48" s="691"/>
      <c r="N48" s="686"/>
      <c r="O48" s="686"/>
      <c r="P48" s="690"/>
      <c r="Q48" s="690"/>
      <c r="R48" s="686"/>
      <c r="S48" s="686"/>
      <c r="T48" s="690"/>
      <c r="U48" s="690"/>
      <c r="V48" s="686"/>
      <c r="W48" s="686"/>
      <c r="X48" s="690"/>
      <c r="Y48" s="690"/>
      <c r="Z48" s="686"/>
      <c r="AA48" s="686"/>
      <c r="AB48" s="690"/>
      <c r="AC48" s="690"/>
      <c r="AD48" s="686"/>
      <c r="AE48" s="686"/>
      <c r="AF48" s="690"/>
      <c r="AG48" s="690"/>
      <c r="AH48" s="686"/>
      <c r="AI48" s="686"/>
      <c r="AJ48" s="690"/>
      <c r="AK48" s="690"/>
      <c r="AL48" s="686"/>
      <c r="AM48" s="686"/>
      <c r="AN48" s="690"/>
      <c r="AO48" s="687"/>
      <c r="AP48" s="664"/>
      <c r="AQ48" s="664"/>
      <c r="AR48" s="411" t="s">
        <v>104</v>
      </c>
      <c r="AS48" s="406">
        <v>44412</v>
      </c>
      <c r="AT48" s="412" t="s">
        <v>520</v>
      </c>
      <c r="AU48" s="398"/>
    </row>
    <row r="49" spans="1:47" ht="39.950000000000003" customHeight="1" x14ac:dyDescent="0.25">
      <c r="A49" s="18">
        <f t="shared" si="1"/>
        <v>37</v>
      </c>
      <c r="B49" s="110">
        <f>'2DEMOGRAPHICS'!B49</f>
        <v>37</v>
      </c>
      <c r="C49" s="111" t="str">
        <f>'2DEMOGRAPHICS'!C49</f>
        <v>aaaaa11111aaaaa</v>
      </c>
      <c r="D49" s="112">
        <f>'2DEMOGRAPHICS'!D49</f>
        <v>44075</v>
      </c>
      <c r="E49" s="668" t="s">
        <v>170</v>
      </c>
      <c r="F49" s="672" t="s">
        <v>22</v>
      </c>
      <c r="G49" s="113">
        <f>'2DEMOGRAPHICS'!E49</f>
        <v>44077</v>
      </c>
      <c r="H49" s="686" t="s">
        <v>100</v>
      </c>
      <c r="I49" s="690"/>
      <c r="J49" s="686"/>
      <c r="K49" s="690"/>
      <c r="L49" s="686"/>
      <c r="M49" s="691"/>
      <c r="N49" s="686"/>
      <c r="O49" s="686"/>
      <c r="P49" s="690"/>
      <c r="Q49" s="690"/>
      <c r="R49" s="686"/>
      <c r="S49" s="686"/>
      <c r="T49" s="690"/>
      <c r="U49" s="690"/>
      <c r="V49" s="686"/>
      <c r="W49" s="686"/>
      <c r="X49" s="690"/>
      <c r="Y49" s="690"/>
      <c r="Z49" s="686"/>
      <c r="AA49" s="686"/>
      <c r="AB49" s="690"/>
      <c r="AC49" s="690"/>
      <c r="AD49" s="686"/>
      <c r="AE49" s="686"/>
      <c r="AF49" s="690"/>
      <c r="AG49" s="690"/>
      <c r="AH49" s="686"/>
      <c r="AI49" s="686"/>
      <c r="AJ49" s="690"/>
      <c r="AK49" s="690"/>
      <c r="AL49" s="686"/>
      <c r="AM49" s="686"/>
      <c r="AN49" s="690"/>
      <c r="AO49" s="687"/>
      <c r="AP49" s="664"/>
      <c r="AQ49" s="664"/>
      <c r="AR49" s="411" t="s">
        <v>100</v>
      </c>
      <c r="AS49" s="406">
        <v>44077</v>
      </c>
      <c r="AT49" s="412" t="s">
        <v>518</v>
      </c>
      <c r="AU49" s="398"/>
    </row>
    <row r="50" spans="1:47" ht="39.950000000000003" customHeight="1" x14ac:dyDescent="0.25">
      <c r="A50" s="18">
        <f t="shared" si="1"/>
        <v>38</v>
      </c>
      <c r="B50" s="110">
        <f>'2DEMOGRAPHICS'!B50</f>
        <v>38</v>
      </c>
      <c r="C50" s="111" t="str">
        <f>'2DEMOGRAPHICS'!C50</f>
        <v>aaaaa11111aaaaa</v>
      </c>
      <c r="D50" s="112">
        <f>'2DEMOGRAPHICS'!D50</f>
        <v>44105</v>
      </c>
      <c r="E50" s="668" t="s">
        <v>173</v>
      </c>
      <c r="F50" s="672" t="s">
        <v>22</v>
      </c>
      <c r="G50" s="113">
        <f>'2DEMOGRAPHICS'!E50</f>
        <v>44077</v>
      </c>
      <c r="H50" s="686" t="s">
        <v>104</v>
      </c>
      <c r="I50" s="690"/>
      <c r="J50" s="686"/>
      <c r="K50" s="690"/>
      <c r="L50" s="686"/>
      <c r="M50" s="691"/>
      <c r="N50" s="686"/>
      <c r="O50" s="686"/>
      <c r="P50" s="690"/>
      <c r="Q50" s="690"/>
      <c r="R50" s="686"/>
      <c r="S50" s="686"/>
      <c r="T50" s="690"/>
      <c r="U50" s="690"/>
      <c r="V50" s="686"/>
      <c r="W50" s="686"/>
      <c r="X50" s="690"/>
      <c r="Y50" s="690"/>
      <c r="Z50" s="686"/>
      <c r="AA50" s="686"/>
      <c r="AB50" s="690"/>
      <c r="AC50" s="690"/>
      <c r="AD50" s="686"/>
      <c r="AE50" s="686"/>
      <c r="AF50" s="690"/>
      <c r="AG50" s="690"/>
      <c r="AH50" s="686"/>
      <c r="AI50" s="686"/>
      <c r="AJ50" s="690"/>
      <c r="AK50" s="690"/>
      <c r="AL50" s="686"/>
      <c r="AM50" s="686"/>
      <c r="AN50" s="690"/>
      <c r="AO50" s="687"/>
      <c r="AP50" s="664"/>
      <c r="AQ50" s="664"/>
      <c r="AR50" s="411" t="s">
        <v>104</v>
      </c>
      <c r="AS50" s="406">
        <v>44077</v>
      </c>
      <c r="AT50" s="412" t="s">
        <v>192</v>
      </c>
      <c r="AU50" s="398"/>
    </row>
    <row r="51" spans="1:47" ht="39.950000000000003" customHeight="1" x14ac:dyDescent="0.25">
      <c r="A51" s="18">
        <f t="shared" si="1"/>
        <v>39</v>
      </c>
      <c r="B51" s="110">
        <f>'2DEMOGRAPHICS'!B51</f>
        <v>39</v>
      </c>
      <c r="C51" s="111" t="str">
        <f>'2DEMOGRAPHICS'!C51</f>
        <v>aaaaa11111aaaaa</v>
      </c>
      <c r="D51" s="112">
        <f>'2DEMOGRAPHICS'!D51</f>
        <v>44136</v>
      </c>
      <c r="E51" s="668" t="s">
        <v>176</v>
      </c>
      <c r="F51" s="672" t="s">
        <v>22</v>
      </c>
      <c r="G51" s="113">
        <f>'2DEMOGRAPHICS'!E51</f>
        <v>44137</v>
      </c>
      <c r="H51" s="686" t="s">
        <v>100</v>
      </c>
      <c r="I51" s="690"/>
      <c r="J51" s="686"/>
      <c r="K51" s="690"/>
      <c r="L51" s="686"/>
      <c r="M51" s="691"/>
      <c r="N51" s="686"/>
      <c r="O51" s="686"/>
      <c r="P51" s="690"/>
      <c r="Q51" s="690"/>
      <c r="R51" s="686"/>
      <c r="S51" s="686"/>
      <c r="T51" s="690"/>
      <c r="U51" s="690"/>
      <c r="V51" s="686"/>
      <c r="W51" s="686"/>
      <c r="X51" s="690"/>
      <c r="Y51" s="690"/>
      <c r="Z51" s="686"/>
      <c r="AA51" s="686"/>
      <c r="AB51" s="690"/>
      <c r="AC51" s="690"/>
      <c r="AD51" s="686"/>
      <c r="AE51" s="686"/>
      <c r="AF51" s="690"/>
      <c r="AG51" s="690"/>
      <c r="AH51" s="686"/>
      <c r="AI51" s="686"/>
      <c r="AJ51" s="690"/>
      <c r="AK51" s="690"/>
      <c r="AL51" s="686"/>
      <c r="AM51" s="686"/>
      <c r="AN51" s="690"/>
      <c r="AO51" s="687"/>
      <c r="AP51" s="664"/>
      <c r="AQ51" s="664"/>
      <c r="AR51" s="411" t="s">
        <v>100</v>
      </c>
      <c r="AS51" s="406">
        <v>44137</v>
      </c>
      <c r="AT51" s="399" t="s">
        <v>522</v>
      </c>
      <c r="AU51" s="398"/>
    </row>
    <row r="52" spans="1:47" ht="39.950000000000003" customHeight="1" x14ac:dyDescent="0.25">
      <c r="A52" s="18">
        <f t="shared" si="1"/>
        <v>40</v>
      </c>
      <c r="B52" s="110">
        <f>'2DEMOGRAPHICS'!B52</f>
        <v>40</v>
      </c>
      <c r="C52" s="111" t="str">
        <f>'2DEMOGRAPHICS'!C52</f>
        <v>aaaaa11111aaaaa</v>
      </c>
      <c r="D52" s="112">
        <f>'2DEMOGRAPHICS'!D52</f>
        <v>44166</v>
      </c>
      <c r="E52" s="668" t="s">
        <v>180</v>
      </c>
      <c r="F52" s="672" t="s">
        <v>22</v>
      </c>
      <c r="G52" s="113">
        <f>'2DEMOGRAPHICS'!E52</f>
        <v>44170</v>
      </c>
      <c r="H52" s="686" t="s">
        <v>104</v>
      </c>
      <c r="I52" s="690"/>
      <c r="J52" s="686"/>
      <c r="K52" s="690"/>
      <c r="L52" s="686"/>
      <c r="M52" s="691"/>
      <c r="N52" s="686"/>
      <c r="O52" s="686"/>
      <c r="P52" s="690"/>
      <c r="Q52" s="690"/>
      <c r="R52" s="686"/>
      <c r="S52" s="686"/>
      <c r="T52" s="690"/>
      <c r="U52" s="690"/>
      <c r="V52" s="686"/>
      <c r="W52" s="686"/>
      <c r="X52" s="690"/>
      <c r="Y52" s="690"/>
      <c r="Z52" s="686"/>
      <c r="AA52" s="686"/>
      <c r="AB52" s="690"/>
      <c r="AC52" s="690"/>
      <c r="AD52" s="686"/>
      <c r="AE52" s="686"/>
      <c r="AF52" s="690"/>
      <c r="AG52" s="690"/>
      <c r="AH52" s="686"/>
      <c r="AI52" s="686"/>
      <c r="AJ52" s="690"/>
      <c r="AK52" s="690"/>
      <c r="AL52" s="686"/>
      <c r="AM52" s="686"/>
      <c r="AN52" s="690"/>
      <c r="AO52" s="687"/>
      <c r="AP52" s="664"/>
      <c r="AQ52" s="664"/>
      <c r="AR52" s="411" t="s">
        <v>104</v>
      </c>
      <c r="AS52" s="406">
        <v>44170</v>
      </c>
      <c r="AT52" s="412" t="s">
        <v>520</v>
      </c>
      <c r="AU52" s="398"/>
    </row>
    <row r="53" spans="1:47" ht="39.950000000000003" customHeight="1" x14ac:dyDescent="0.25">
      <c r="A53" s="18">
        <f t="shared" si="1"/>
        <v>41</v>
      </c>
      <c r="B53" s="110">
        <f>'2DEMOGRAPHICS'!B53</f>
        <v>41</v>
      </c>
      <c r="C53" s="111" t="str">
        <f>'2DEMOGRAPHICS'!C53</f>
        <v>aaaaa11111aaaaa</v>
      </c>
      <c r="D53" s="112">
        <f>'2DEMOGRAPHICS'!D53</f>
        <v>44197</v>
      </c>
      <c r="E53" s="668" t="s">
        <v>183</v>
      </c>
      <c r="F53" s="672" t="s">
        <v>22</v>
      </c>
      <c r="G53" s="113">
        <f>'2DEMOGRAPHICS'!E53</f>
        <v>44201</v>
      </c>
      <c r="H53" s="686" t="s">
        <v>100</v>
      </c>
      <c r="I53" s="690"/>
      <c r="J53" s="686"/>
      <c r="K53" s="690"/>
      <c r="L53" s="686"/>
      <c r="M53" s="691"/>
      <c r="N53" s="686"/>
      <c r="O53" s="686"/>
      <c r="P53" s="690"/>
      <c r="Q53" s="690"/>
      <c r="R53" s="686"/>
      <c r="S53" s="686"/>
      <c r="T53" s="690"/>
      <c r="U53" s="690"/>
      <c r="V53" s="686"/>
      <c r="W53" s="686"/>
      <c r="X53" s="690"/>
      <c r="Y53" s="690"/>
      <c r="Z53" s="686"/>
      <c r="AA53" s="686"/>
      <c r="AB53" s="690"/>
      <c r="AC53" s="690"/>
      <c r="AD53" s="686"/>
      <c r="AE53" s="686"/>
      <c r="AF53" s="690"/>
      <c r="AG53" s="690"/>
      <c r="AH53" s="686"/>
      <c r="AI53" s="686"/>
      <c r="AJ53" s="690"/>
      <c r="AK53" s="690"/>
      <c r="AL53" s="686"/>
      <c r="AM53" s="686"/>
      <c r="AN53" s="690"/>
      <c r="AO53" s="687"/>
      <c r="AP53" s="664"/>
      <c r="AQ53" s="664"/>
      <c r="AR53" s="411" t="s">
        <v>100</v>
      </c>
      <c r="AS53" s="406">
        <v>44201</v>
      </c>
      <c r="AT53" s="399" t="s">
        <v>522</v>
      </c>
      <c r="AU53" s="398"/>
    </row>
    <row r="54" spans="1:47" ht="39.950000000000003" customHeight="1" x14ac:dyDescent="0.25">
      <c r="A54" s="18">
        <f t="shared" si="1"/>
        <v>42</v>
      </c>
      <c r="B54" s="110">
        <f>'2DEMOGRAPHICS'!B54</f>
        <v>42</v>
      </c>
      <c r="C54" s="111" t="str">
        <f>'2DEMOGRAPHICS'!C54</f>
        <v>aaaaa11111aaaaa</v>
      </c>
      <c r="D54" s="112">
        <f>'2DEMOGRAPHICS'!D54</f>
        <v>44228</v>
      </c>
      <c r="E54" s="668" t="s">
        <v>186</v>
      </c>
      <c r="F54" s="672" t="s">
        <v>22</v>
      </c>
      <c r="G54" s="113">
        <f>'2DEMOGRAPHICS'!E54</f>
        <v>44230</v>
      </c>
      <c r="H54" s="686" t="s">
        <v>104</v>
      </c>
      <c r="I54" s="690"/>
      <c r="J54" s="686"/>
      <c r="K54" s="690"/>
      <c r="L54" s="686"/>
      <c r="M54" s="691"/>
      <c r="N54" s="686"/>
      <c r="O54" s="686"/>
      <c r="P54" s="690"/>
      <c r="Q54" s="690"/>
      <c r="R54" s="686"/>
      <c r="S54" s="686"/>
      <c r="T54" s="690"/>
      <c r="U54" s="690"/>
      <c r="V54" s="686"/>
      <c r="W54" s="686"/>
      <c r="X54" s="690"/>
      <c r="Y54" s="690"/>
      <c r="Z54" s="686"/>
      <c r="AA54" s="686"/>
      <c r="AB54" s="690"/>
      <c r="AC54" s="690"/>
      <c r="AD54" s="686"/>
      <c r="AE54" s="686"/>
      <c r="AF54" s="690"/>
      <c r="AG54" s="690"/>
      <c r="AH54" s="686"/>
      <c r="AI54" s="686"/>
      <c r="AJ54" s="690"/>
      <c r="AK54" s="690"/>
      <c r="AL54" s="686"/>
      <c r="AM54" s="686"/>
      <c r="AN54" s="690"/>
      <c r="AO54" s="687"/>
      <c r="AP54" s="664"/>
      <c r="AQ54" s="664"/>
      <c r="AR54" s="411" t="s">
        <v>104</v>
      </c>
      <c r="AS54" s="406">
        <v>44230</v>
      </c>
      <c r="AT54" s="412" t="s">
        <v>520</v>
      </c>
      <c r="AU54" s="398"/>
    </row>
    <row r="55" spans="1:47" ht="39.950000000000003" customHeight="1" x14ac:dyDescent="0.25">
      <c r="A55" s="18">
        <f t="shared" si="1"/>
        <v>43</v>
      </c>
      <c r="B55" s="110">
        <f>'2DEMOGRAPHICS'!B55</f>
        <v>43</v>
      </c>
      <c r="C55" s="111" t="str">
        <f>'2DEMOGRAPHICS'!C55</f>
        <v>aaaaa11111aaaaa</v>
      </c>
      <c r="D55" s="112">
        <f>'2DEMOGRAPHICS'!D55</f>
        <v>44256</v>
      </c>
      <c r="E55" s="668" t="s">
        <v>188</v>
      </c>
      <c r="F55" s="672" t="s">
        <v>22</v>
      </c>
      <c r="G55" s="113">
        <f>'2DEMOGRAPHICS'!E55</f>
        <v>44259</v>
      </c>
      <c r="H55" s="686" t="s">
        <v>100</v>
      </c>
      <c r="I55" s="690"/>
      <c r="J55" s="686"/>
      <c r="K55" s="690"/>
      <c r="L55" s="686"/>
      <c r="M55" s="691"/>
      <c r="N55" s="686"/>
      <c r="O55" s="686"/>
      <c r="P55" s="690"/>
      <c r="Q55" s="690"/>
      <c r="R55" s="686"/>
      <c r="S55" s="686"/>
      <c r="T55" s="690"/>
      <c r="U55" s="690"/>
      <c r="V55" s="686"/>
      <c r="W55" s="686"/>
      <c r="X55" s="690"/>
      <c r="Y55" s="690"/>
      <c r="Z55" s="686"/>
      <c r="AA55" s="686"/>
      <c r="AB55" s="690"/>
      <c r="AC55" s="690"/>
      <c r="AD55" s="686"/>
      <c r="AE55" s="686"/>
      <c r="AF55" s="690"/>
      <c r="AG55" s="690"/>
      <c r="AH55" s="686"/>
      <c r="AI55" s="686"/>
      <c r="AJ55" s="690"/>
      <c r="AK55" s="690"/>
      <c r="AL55" s="686"/>
      <c r="AM55" s="686"/>
      <c r="AN55" s="690"/>
      <c r="AO55" s="687"/>
      <c r="AP55" s="664"/>
      <c r="AQ55" s="664"/>
      <c r="AR55" s="411" t="s">
        <v>100</v>
      </c>
      <c r="AS55" s="406">
        <v>44259</v>
      </c>
      <c r="AT55" s="412" t="s">
        <v>518</v>
      </c>
      <c r="AU55" s="398"/>
    </row>
    <row r="56" spans="1:47" ht="39.950000000000003" customHeight="1" x14ac:dyDescent="0.25">
      <c r="A56" s="18">
        <f t="shared" si="1"/>
        <v>44</v>
      </c>
      <c r="B56" s="110">
        <f>'2DEMOGRAPHICS'!B56</f>
        <v>44</v>
      </c>
      <c r="C56" s="111" t="str">
        <f>'2DEMOGRAPHICS'!C56</f>
        <v>aaaaa11111aaaaa</v>
      </c>
      <c r="D56" s="112">
        <f>'2DEMOGRAPHICS'!D56</f>
        <v>44287</v>
      </c>
      <c r="E56" s="668" t="s">
        <v>190</v>
      </c>
      <c r="F56" s="672" t="s">
        <v>22</v>
      </c>
      <c r="G56" s="113">
        <f>'2DEMOGRAPHICS'!E56</f>
        <v>44291</v>
      </c>
      <c r="H56" s="686" t="s">
        <v>104</v>
      </c>
      <c r="I56" s="690"/>
      <c r="J56" s="686"/>
      <c r="K56" s="690"/>
      <c r="L56" s="686"/>
      <c r="M56" s="691"/>
      <c r="N56" s="686"/>
      <c r="O56" s="686"/>
      <c r="P56" s="690"/>
      <c r="Q56" s="690"/>
      <c r="R56" s="686"/>
      <c r="S56" s="686"/>
      <c r="T56" s="690"/>
      <c r="U56" s="690"/>
      <c r="V56" s="686"/>
      <c r="W56" s="686"/>
      <c r="X56" s="690"/>
      <c r="Y56" s="690"/>
      <c r="Z56" s="686"/>
      <c r="AA56" s="686"/>
      <c r="AB56" s="690"/>
      <c r="AC56" s="690"/>
      <c r="AD56" s="686"/>
      <c r="AE56" s="686"/>
      <c r="AF56" s="690"/>
      <c r="AG56" s="690"/>
      <c r="AH56" s="686"/>
      <c r="AI56" s="686"/>
      <c r="AJ56" s="690"/>
      <c r="AK56" s="690"/>
      <c r="AL56" s="686"/>
      <c r="AM56" s="686"/>
      <c r="AN56" s="690"/>
      <c r="AO56" s="687"/>
      <c r="AP56" s="664"/>
      <c r="AQ56" s="664"/>
      <c r="AR56" s="411" t="s">
        <v>104</v>
      </c>
      <c r="AS56" s="406">
        <v>44291</v>
      </c>
      <c r="AT56" s="412" t="s">
        <v>192</v>
      </c>
      <c r="AU56" s="398"/>
    </row>
    <row r="57" spans="1:47" ht="39.950000000000003" customHeight="1" x14ac:dyDescent="0.25">
      <c r="A57" s="18">
        <f t="shared" si="1"/>
        <v>45</v>
      </c>
      <c r="B57" s="110">
        <f>'2DEMOGRAPHICS'!B57</f>
        <v>45</v>
      </c>
      <c r="C57" s="111" t="str">
        <f>'2DEMOGRAPHICS'!C57</f>
        <v>aaaaa11111aaaaa</v>
      </c>
      <c r="D57" s="112">
        <f>'2DEMOGRAPHICS'!D57</f>
        <v>44317</v>
      </c>
      <c r="E57" s="667" t="s">
        <v>139</v>
      </c>
      <c r="F57" s="672" t="s">
        <v>22</v>
      </c>
      <c r="G57" s="113">
        <f>'2DEMOGRAPHICS'!E57</f>
        <v>44319</v>
      </c>
      <c r="H57" s="686" t="s">
        <v>100</v>
      </c>
      <c r="I57" s="690"/>
      <c r="J57" s="686"/>
      <c r="K57" s="690"/>
      <c r="L57" s="686"/>
      <c r="M57" s="691"/>
      <c r="N57" s="686"/>
      <c r="O57" s="686"/>
      <c r="P57" s="690"/>
      <c r="Q57" s="690"/>
      <c r="R57" s="686"/>
      <c r="S57" s="686"/>
      <c r="T57" s="690"/>
      <c r="U57" s="690"/>
      <c r="V57" s="686"/>
      <c r="W57" s="686"/>
      <c r="X57" s="690"/>
      <c r="Y57" s="690"/>
      <c r="Z57" s="686"/>
      <c r="AA57" s="686"/>
      <c r="AB57" s="690"/>
      <c r="AC57" s="690"/>
      <c r="AD57" s="686"/>
      <c r="AE57" s="686"/>
      <c r="AF57" s="690"/>
      <c r="AG57" s="690"/>
      <c r="AH57" s="686"/>
      <c r="AI57" s="686"/>
      <c r="AJ57" s="690"/>
      <c r="AK57" s="690"/>
      <c r="AL57" s="686"/>
      <c r="AM57" s="686"/>
      <c r="AN57" s="690"/>
      <c r="AO57" s="687"/>
      <c r="AP57" s="664"/>
      <c r="AQ57" s="664"/>
      <c r="AR57" s="411" t="s">
        <v>100</v>
      </c>
      <c r="AS57" s="406">
        <v>44319</v>
      </c>
      <c r="AT57" s="399" t="s">
        <v>522</v>
      </c>
      <c r="AU57" s="398"/>
    </row>
    <row r="58" spans="1:47" ht="39.950000000000003" customHeight="1" x14ac:dyDescent="0.25">
      <c r="A58" s="18">
        <f t="shared" si="1"/>
        <v>46</v>
      </c>
      <c r="B58" s="110">
        <f>'2DEMOGRAPHICS'!B58</f>
        <v>46</v>
      </c>
      <c r="C58" s="111" t="str">
        <f>'2DEMOGRAPHICS'!C58</f>
        <v>aaaaa11111aaaaa</v>
      </c>
      <c r="D58" s="112">
        <f>'2DEMOGRAPHICS'!D58</f>
        <v>44348</v>
      </c>
      <c r="E58" s="668" t="s">
        <v>166</v>
      </c>
      <c r="F58" s="672" t="s">
        <v>22</v>
      </c>
      <c r="G58" s="113">
        <f>'2DEMOGRAPHICS'!E58</f>
        <v>44351</v>
      </c>
      <c r="H58" s="686" t="s">
        <v>104</v>
      </c>
      <c r="I58" s="690"/>
      <c r="J58" s="686"/>
      <c r="K58" s="690"/>
      <c r="L58" s="686"/>
      <c r="M58" s="691"/>
      <c r="N58" s="686"/>
      <c r="O58" s="686"/>
      <c r="P58" s="690"/>
      <c r="Q58" s="690"/>
      <c r="R58" s="686"/>
      <c r="S58" s="686"/>
      <c r="T58" s="690"/>
      <c r="U58" s="690"/>
      <c r="V58" s="686"/>
      <c r="W58" s="686"/>
      <c r="X58" s="690"/>
      <c r="Y58" s="690"/>
      <c r="Z58" s="686"/>
      <c r="AA58" s="686"/>
      <c r="AB58" s="690"/>
      <c r="AC58" s="690"/>
      <c r="AD58" s="686"/>
      <c r="AE58" s="686"/>
      <c r="AF58" s="690"/>
      <c r="AG58" s="690"/>
      <c r="AH58" s="686"/>
      <c r="AI58" s="686"/>
      <c r="AJ58" s="690"/>
      <c r="AK58" s="690"/>
      <c r="AL58" s="686"/>
      <c r="AM58" s="686"/>
      <c r="AN58" s="690"/>
      <c r="AO58" s="687"/>
      <c r="AP58" s="664"/>
      <c r="AQ58" s="664"/>
      <c r="AR58" s="411" t="s">
        <v>104</v>
      </c>
      <c r="AS58" s="406">
        <v>44351</v>
      </c>
      <c r="AT58" s="412" t="s">
        <v>520</v>
      </c>
      <c r="AU58" s="398"/>
    </row>
    <row r="59" spans="1:47" ht="39.950000000000003" customHeight="1" x14ac:dyDescent="0.25">
      <c r="A59" s="18">
        <f t="shared" si="1"/>
        <v>47</v>
      </c>
      <c r="B59" s="110">
        <f>'2DEMOGRAPHICS'!B59</f>
        <v>47</v>
      </c>
      <c r="C59" s="111" t="str">
        <f>'2DEMOGRAPHICS'!C59</f>
        <v>aaaaa11111aaaaa</v>
      </c>
      <c r="D59" s="112">
        <f>'2DEMOGRAPHICS'!D59</f>
        <v>44378</v>
      </c>
      <c r="E59" s="668" t="s">
        <v>167</v>
      </c>
      <c r="F59" s="672" t="s">
        <v>22</v>
      </c>
      <c r="G59" s="113">
        <f>'2DEMOGRAPHICS'!E59</f>
        <v>44379</v>
      </c>
      <c r="H59" s="686" t="s">
        <v>100</v>
      </c>
      <c r="I59" s="690"/>
      <c r="J59" s="686"/>
      <c r="K59" s="690"/>
      <c r="L59" s="686"/>
      <c r="M59" s="691"/>
      <c r="N59" s="686"/>
      <c r="O59" s="686"/>
      <c r="P59" s="690"/>
      <c r="Q59" s="690"/>
      <c r="R59" s="686"/>
      <c r="S59" s="686"/>
      <c r="T59" s="690"/>
      <c r="U59" s="690"/>
      <c r="V59" s="686"/>
      <c r="W59" s="686"/>
      <c r="X59" s="690"/>
      <c r="Y59" s="690"/>
      <c r="Z59" s="686"/>
      <c r="AA59" s="686"/>
      <c r="AB59" s="690"/>
      <c r="AC59" s="690"/>
      <c r="AD59" s="686"/>
      <c r="AE59" s="686"/>
      <c r="AF59" s="690"/>
      <c r="AG59" s="690"/>
      <c r="AH59" s="686"/>
      <c r="AI59" s="686"/>
      <c r="AJ59" s="690"/>
      <c r="AK59" s="690"/>
      <c r="AL59" s="686"/>
      <c r="AM59" s="686"/>
      <c r="AN59" s="690"/>
      <c r="AO59" s="687"/>
      <c r="AP59" s="664"/>
      <c r="AQ59" s="664"/>
      <c r="AR59" s="411" t="s">
        <v>100</v>
      </c>
      <c r="AS59" s="406">
        <v>44379</v>
      </c>
      <c r="AT59" s="412" t="s">
        <v>518</v>
      </c>
      <c r="AU59" s="398"/>
    </row>
    <row r="60" spans="1:47" ht="39.950000000000003" customHeight="1" x14ac:dyDescent="0.25">
      <c r="A60" s="18">
        <f t="shared" si="1"/>
        <v>48</v>
      </c>
      <c r="B60" s="110">
        <f>'2DEMOGRAPHICS'!B60</f>
        <v>48</v>
      </c>
      <c r="C60" s="111" t="str">
        <f>'2DEMOGRAPHICS'!C60</f>
        <v>aaaaa11111aaaaa</v>
      </c>
      <c r="D60" s="112">
        <f>'2DEMOGRAPHICS'!D60</f>
        <v>44409</v>
      </c>
      <c r="E60" s="668" t="s">
        <v>170</v>
      </c>
      <c r="F60" s="672" t="s">
        <v>22</v>
      </c>
      <c r="G60" s="113">
        <f>'2DEMOGRAPHICS'!E60</f>
        <v>44412</v>
      </c>
      <c r="H60" s="686" t="s">
        <v>104</v>
      </c>
      <c r="I60" s="690"/>
      <c r="J60" s="686"/>
      <c r="K60" s="690"/>
      <c r="L60" s="686"/>
      <c r="M60" s="691"/>
      <c r="N60" s="686"/>
      <c r="O60" s="686"/>
      <c r="P60" s="690"/>
      <c r="Q60" s="690"/>
      <c r="R60" s="686"/>
      <c r="S60" s="686"/>
      <c r="T60" s="690"/>
      <c r="U60" s="690"/>
      <c r="V60" s="686"/>
      <c r="W60" s="686"/>
      <c r="X60" s="690"/>
      <c r="Y60" s="690"/>
      <c r="Z60" s="686"/>
      <c r="AA60" s="686"/>
      <c r="AB60" s="690"/>
      <c r="AC60" s="690"/>
      <c r="AD60" s="686"/>
      <c r="AE60" s="686"/>
      <c r="AF60" s="690"/>
      <c r="AG60" s="690"/>
      <c r="AH60" s="686"/>
      <c r="AI60" s="686"/>
      <c r="AJ60" s="690"/>
      <c r="AK60" s="690"/>
      <c r="AL60" s="686"/>
      <c r="AM60" s="686"/>
      <c r="AN60" s="690"/>
      <c r="AO60" s="687"/>
      <c r="AP60" s="664"/>
      <c r="AQ60" s="664"/>
      <c r="AR60" s="411" t="s">
        <v>104</v>
      </c>
      <c r="AS60" s="406">
        <v>44412</v>
      </c>
      <c r="AT60" s="412" t="s">
        <v>192</v>
      </c>
      <c r="AU60" s="398"/>
    </row>
    <row r="61" spans="1:47" ht="39.950000000000003" customHeight="1" x14ac:dyDescent="0.25">
      <c r="A61" s="18">
        <f t="shared" si="1"/>
        <v>49</v>
      </c>
      <c r="B61" s="110">
        <f>'2DEMOGRAPHICS'!B61</f>
        <v>49</v>
      </c>
      <c r="C61" s="111" t="str">
        <f>'2DEMOGRAPHICS'!C61</f>
        <v>aaaaa11111aaaaa</v>
      </c>
      <c r="D61" s="112">
        <f>'2DEMOGRAPHICS'!D61</f>
        <v>44075</v>
      </c>
      <c r="E61" s="668" t="s">
        <v>173</v>
      </c>
      <c r="F61" s="672" t="s">
        <v>22</v>
      </c>
      <c r="G61" s="113">
        <f>'2DEMOGRAPHICS'!E61</f>
        <v>44076</v>
      </c>
      <c r="H61" s="686" t="s">
        <v>100</v>
      </c>
      <c r="I61" s="690"/>
      <c r="J61" s="686"/>
      <c r="K61" s="690"/>
      <c r="L61" s="686"/>
      <c r="M61" s="691"/>
      <c r="N61" s="686"/>
      <c r="O61" s="686"/>
      <c r="P61" s="690"/>
      <c r="Q61" s="690"/>
      <c r="R61" s="686"/>
      <c r="S61" s="686"/>
      <c r="T61" s="690"/>
      <c r="U61" s="690"/>
      <c r="V61" s="686"/>
      <c r="W61" s="686"/>
      <c r="X61" s="690"/>
      <c r="Y61" s="690"/>
      <c r="Z61" s="686"/>
      <c r="AA61" s="686"/>
      <c r="AB61" s="690"/>
      <c r="AC61" s="690"/>
      <c r="AD61" s="686"/>
      <c r="AE61" s="686"/>
      <c r="AF61" s="690"/>
      <c r="AG61" s="690"/>
      <c r="AH61" s="686"/>
      <c r="AI61" s="686"/>
      <c r="AJ61" s="690"/>
      <c r="AK61" s="690"/>
      <c r="AL61" s="686"/>
      <c r="AM61" s="686"/>
      <c r="AN61" s="690"/>
      <c r="AO61" s="687"/>
      <c r="AP61" s="664"/>
      <c r="AQ61" s="664"/>
      <c r="AR61" s="411" t="s">
        <v>100</v>
      </c>
      <c r="AS61" s="406">
        <v>44076</v>
      </c>
      <c r="AT61" s="399" t="s">
        <v>522</v>
      </c>
      <c r="AU61" s="398"/>
    </row>
    <row r="62" spans="1:47" ht="39.950000000000003" customHeight="1" x14ac:dyDescent="0.25">
      <c r="A62" s="18">
        <f t="shared" si="1"/>
        <v>50</v>
      </c>
      <c r="B62" s="110">
        <f>'2DEMOGRAPHICS'!B62</f>
        <v>50</v>
      </c>
      <c r="C62" s="111" t="str">
        <f>'2DEMOGRAPHICS'!C62</f>
        <v>aaaaa11111aaaaa</v>
      </c>
      <c r="D62" s="112">
        <f>'2DEMOGRAPHICS'!D62</f>
        <v>44105</v>
      </c>
      <c r="E62" s="668" t="s">
        <v>176</v>
      </c>
      <c r="F62" s="672" t="s">
        <v>22</v>
      </c>
      <c r="G62" s="113">
        <f>'2DEMOGRAPHICS'!E62</f>
        <v>44139</v>
      </c>
      <c r="H62" s="686" t="s">
        <v>104</v>
      </c>
      <c r="I62" s="690"/>
      <c r="J62" s="686"/>
      <c r="K62" s="690"/>
      <c r="L62" s="686"/>
      <c r="M62" s="691"/>
      <c r="N62" s="686"/>
      <c r="O62" s="686"/>
      <c r="P62" s="690"/>
      <c r="Q62" s="690"/>
      <c r="R62" s="686"/>
      <c r="S62" s="686"/>
      <c r="T62" s="690"/>
      <c r="U62" s="690"/>
      <c r="V62" s="686"/>
      <c r="W62" s="686"/>
      <c r="X62" s="690"/>
      <c r="Y62" s="690"/>
      <c r="Z62" s="686"/>
      <c r="AA62" s="686"/>
      <c r="AB62" s="690"/>
      <c r="AC62" s="690"/>
      <c r="AD62" s="686"/>
      <c r="AE62" s="686"/>
      <c r="AF62" s="690"/>
      <c r="AG62" s="690"/>
      <c r="AH62" s="686"/>
      <c r="AI62" s="686"/>
      <c r="AJ62" s="690"/>
      <c r="AK62" s="690"/>
      <c r="AL62" s="686"/>
      <c r="AM62" s="686"/>
      <c r="AN62" s="690"/>
      <c r="AO62" s="687"/>
      <c r="AP62" s="664"/>
      <c r="AQ62" s="664"/>
      <c r="AR62" s="411" t="s">
        <v>104</v>
      </c>
      <c r="AS62" s="406">
        <v>44139</v>
      </c>
      <c r="AT62" s="412" t="s">
        <v>520</v>
      </c>
      <c r="AU62" s="398"/>
    </row>
    <row r="63" spans="1:47" x14ac:dyDescent="0.25">
      <c r="A63" s="10"/>
      <c r="D63" s="297"/>
      <c r="E63" s="669"/>
      <c r="F63" s="297"/>
    </row>
    <row r="64" spans="1:47" x14ac:dyDescent="0.25">
      <c r="A64" s="10"/>
      <c r="E64" s="670"/>
    </row>
    <row r="65" spans="1:5" x14ac:dyDescent="0.25">
      <c r="A65" s="10"/>
      <c r="E65" s="670"/>
    </row>
    <row r="66" spans="1:5" x14ac:dyDescent="0.25">
      <c r="A66" s="10"/>
      <c r="E66" s="670"/>
    </row>
    <row r="67" spans="1:5" x14ac:dyDescent="0.25">
      <c r="A67" s="10"/>
      <c r="E67" s="670"/>
    </row>
    <row r="68" spans="1:5" x14ac:dyDescent="0.25">
      <c r="A68" s="10"/>
    </row>
  </sheetData>
  <mergeCells count="41">
    <mergeCell ref="BT13:BZ14"/>
    <mergeCell ref="CA13:CG14"/>
    <mergeCell ref="BK13:BM14"/>
    <mergeCell ref="BN13:BP14"/>
    <mergeCell ref="BQ13:BS14"/>
    <mergeCell ref="BH2:CB2"/>
    <mergeCell ref="BH3:CB3"/>
    <mergeCell ref="BH4:CB4"/>
    <mergeCell ref="BH5:CZ5"/>
    <mergeCell ref="BH6:BK6"/>
    <mergeCell ref="BL6:BQ6"/>
    <mergeCell ref="BR6:BV6"/>
    <mergeCell ref="BW6:CB6"/>
    <mergeCell ref="BH7:BK7"/>
    <mergeCell ref="BL7:BQ7"/>
    <mergeCell ref="BR7:BV7"/>
    <mergeCell ref="BW7:CB7"/>
    <mergeCell ref="BH8:BK9"/>
    <mergeCell ref="BL8:BQ9"/>
    <mergeCell ref="BR8:BV8"/>
    <mergeCell ref="BW8:CB8"/>
    <mergeCell ref="BR9:BV9"/>
    <mergeCell ref="BW9:CB9"/>
    <mergeCell ref="BH11:BM11"/>
    <mergeCell ref="BN11:BP11"/>
    <mergeCell ref="BQ11:BS11"/>
    <mergeCell ref="BT11:BV11"/>
    <mergeCell ref="BW11:BY11"/>
    <mergeCell ref="BH10:BK10"/>
    <mergeCell ref="BL10:BM10"/>
    <mergeCell ref="BN10:BQ10"/>
    <mergeCell ref="BR10:BV10"/>
    <mergeCell ref="BW10:CB10"/>
    <mergeCell ref="CR11:CT11"/>
    <mergeCell ref="CU11:CW11"/>
    <mergeCell ref="BZ11:CB11"/>
    <mergeCell ref="CC11:CE11"/>
    <mergeCell ref="CF11:CH11"/>
    <mergeCell ref="CI11:CK11"/>
    <mergeCell ref="CL11:CN11"/>
    <mergeCell ref="CO11:CQ11"/>
  </mergeCells>
  <conditionalFormatting sqref="E13:F62">
    <cfRule type="expression" dxfId="26" priority="26">
      <formula>$E13="Other - Specify in Note Section"</formula>
    </cfRule>
  </conditionalFormatting>
  <conditionalFormatting sqref="H15:H16">
    <cfRule type="expression" dxfId="25" priority="24">
      <formula>#REF!="YES"</formula>
    </cfRule>
  </conditionalFormatting>
  <conditionalFormatting sqref="H17:H62">
    <cfRule type="expression" dxfId="24" priority="1">
      <formula>#REF!="YES"</formula>
    </cfRule>
  </conditionalFormatting>
  <conditionalFormatting sqref="H13:AQ14">
    <cfRule type="expression" dxfId="23" priority="25">
      <formula>#REF!="YES"</formula>
    </cfRule>
  </conditionalFormatting>
  <conditionalFormatting sqref="I15:AQ62">
    <cfRule type="expression" dxfId="22" priority="33">
      <formula>#REF!="YES"</formula>
    </cfRule>
  </conditionalFormatting>
  <dataValidations count="3">
    <dataValidation allowBlank="1" showInputMessage="1" showErrorMessage="1" prompt="Use MM/DD/YYYY format (00/00/0000). Leave blank until the date is needed. " sqref="AS13:AS62" xr:uid="{ADA6300D-6703-43CD-BA02-6C06F5A17039}"/>
    <dataValidation allowBlank="1" showInputMessage="1" showErrorMessage="1" prompt="data will auto populate" sqref="B13:C62" xr:uid="{75C829C6-B4F0-42E9-B75B-2857A8B9824B}"/>
    <dataValidation allowBlank="1" showInputMessage="1" showErrorMessage="1" prompt="date will auto populate" sqref="D13:D62 G13:G62" xr:uid="{A95436F9-200A-481E-8973-0248D1E617E6}"/>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EAF734F0-1984-44AB-9C40-4E8EDEE960B8}">
          <x14:formula1>
            <xm:f>'Pick List '!$R$89:$R$92</xm:f>
          </x14:formula1>
          <xm:sqref>AT13:AT62</xm:sqref>
        </x14:dataValidation>
        <x14:dataValidation type="list" allowBlank="1" showInputMessage="1" showErrorMessage="1" xr:uid="{37DE4BBF-C9AA-4C3F-BEC9-EE5F6871DC3E}">
          <x14:formula1>
            <xm:f>'Pick List '!$F$41:$F$51</xm:f>
          </x14:formula1>
          <xm:sqref>E13:E67</xm:sqref>
        </x14:dataValidation>
        <x14:dataValidation type="list" allowBlank="1" showInputMessage="1" showErrorMessage="1" xr:uid="{05B4FB1D-29A4-4566-9E25-98C7D2B04DCD}">
          <x14:formula1>
            <xm:f>'Pick List '!$G$15:$G$16</xm:f>
          </x14:formula1>
          <xm:sqref>AQ13:AR62 L13:L62 J13:J62 H13:H62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B5388-9ABB-40ED-8518-0BFF3B50C730}">
  <sheetPr>
    <tabColor theme="5" tint="0.39997558519241921"/>
  </sheetPr>
  <dimension ref="A1:BB68"/>
  <sheetViews>
    <sheetView topLeftCell="L1" workbookViewId="0">
      <pane ySplit="1" topLeftCell="A11" activePane="bottomLeft" state="frozen"/>
      <selection activeCell="D1" sqref="D1"/>
      <selection pane="bottomLeft" activeCell="AY11" sqref="AY11:BB11"/>
    </sheetView>
  </sheetViews>
  <sheetFormatPr defaultRowHeight="15" x14ac:dyDescent="0.25"/>
  <cols>
    <col min="1" max="1" width="5.28515625" customWidth="1"/>
    <col min="2" max="2" width="13.85546875" customWidth="1"/>
    <col min="3" max="3" width="10.85546875" customWidth="1"/>
    <col min="4" max="4" width="12.42578125" customWidth="1"/>
    <col min="5" max="5" width="14.28515625" customWidth="1"/>
    <col min="6" max="6" width="14.42578125" customWidth="1"/>
    <col min="7" max="7" width="6.7109375" customWidth="1"/>
    <col min="8" max="8" width="7.5703125" customWidth="1"/>
    <col min="9" max="9" width="9.7109375" customWidth="1"/>
    <col min="10" max="10" width="6.7109375" customWidth="1"/>
    <col min="11" max="11" width="7.42578125" customWidth="1"/>
    <col min="12" max="12" width="9.7109375" customWidth="1"/>
    <col min="13" max="13" width="6.7109375" customWidth="1"/>
    <col min="14" max="14" width="7" customWidth="1"/>
    <col min="15" max="15" width="9.7109375" customWidth="1"/>
    <col min="16" max="17" width="6.7109375" customWidth="1"/>
    <col min="18" max="18" width="9.7109375" customWidth="1"/>
    <col min="19" max="20" width="6.7109375" customWidth="1"/>
    <col min="21" max="21" width="9.7109375" customWidth="1"/>
    <col min="22" max="23" width="6.7109375" customWidth="1"/>
    <col min="24" max="24" width="9.7109375" customWidth="1"/>
    <col min="25" max="26" width="6.7109375" customWidth="1"/>
    <col min="27" max="27" width="9.7109375" customWidth="1"/>
    <col min="28" max="29" width="6.7109375" customWidth="1"/>
    <col min="30" max="30" width="9.7109375" customWidth="1"/>
    <col min="31" max="32" width="6.7109375" customWidth="1"/>
    <col min="33" max="33" width="9.7109375" customWidth="1"/>
    <col min="34" max="35" width="6.7109375" customWidth="1"/>
    <col min="36" max="36" width="9.7109375" customWidth="1"/>
    <col min="37" max="38" width="6.7109375" customWidth="1"/>
    <col min="39" max="39" width="9.7109375" customWidth="1"/>
    <col min="40" max="41" width="6.7109375" customWidth="1"/>
    <col min="42" max="42" width="9.7109375" customWidth="1"/>
    <col min="43" max="43" width="6.7109375" customWidth="1"/>
    <col min="44" max="44" width="12.28515625" customWidth="1"/>
    <col min="45" max="45" width="5.7109375" customWidth="1"/>
    <col min="46" max="46" width="9.7109375" customWidth="1"/>
    <col min="47" max="47" width="6.7109375" customWidth="1"/>
    <col min="48" max="48" width="12.7109375" customWidth="1"/>
    <col min="49" max="49" width="5.7109375" customWidth="1"/>
    <col min="50" max="50" width="9.7109375" customWidth="1"/>
    <col min="52" max="52" width="11.140625" customWidth="1"/>
    <col min="53" max="53" width="19.28515625" customWidth="1"/>
    <col min="54" max="54" width="17" customWidth="1"/>
  </cols>
  <sheetData>
    <row r="1" spans="1:54" ht="69.95" customHeight="1" thickTop="1" thickBot="1" x14ac:dyDescent="0.3">
      <c r="A1" s="13" t="s">
        <v>245</v>
      </c>
      <c r="B1" s="98" t="s">
        <v>336</v>
      </c>
      <c r="C1" s="99" t="s">
        <v>337</v>
      </c>
      <c r="D1" s="98" t="s">
        <v>527</v>
      </c>
      <c r="E1" s="99" t="s">
        <v>533</v>
      </c>
      <c r="F1" s="100" t="s">
        <v>301</v>
      </c>
      <c r="G1" s="616" t="s">
        <v>343</v>
      </c>
      <c r="H1" s="605" t="s">
        <v>628</v>
      </c>
      <c r="I1" s="614" t="s">
        <v>621</v>
      </c>
      <c r="J1" s="617" t="s">
        <v>344</v>
      </c>
      <c r="K1" s="606" t="s">
        <v>629</v>
      </c>
      <c r="L1" s="615" t="s">
        <v>622</v>
      </c>
      <c r="M1" s="616" t="s">
        <v>345</v>
      </c>
      <c r="N1" s="605" t="s">
        <v>628</v>
      </c>
      <c r="O1" s="614" t="s">
        <v>621</v>
      </c>
      <c r="P1" s="617" t="s">
        <v>346</v>
      </c>
      <c r="Q1" s="606" t="s">
        <v>629</v>
      </c>
      <c r="R1" s="615" t="s">
        <v>622</v>
      </c>
      <c r="S1" s="616" t="s">
        <v>347</v>
      </c>
      <c r="T1" s="605" t="s">
        <v>628</v>
      </c>
      <c r="U1" s="614" t="s">
        <v>621</v>
      </c>
      <c r="V1" s="617" t="s">
        <v>348</v>
      </c>
      <c r="W1" s="606" t="s">
        <v>629</v>
      </c>
      <c r="X1" s="615" t="s">
        <v>622</v>
      </c>
      <c r="Y1" s="616" t="s">
        <v>349</v>
      </c>
      <c r="Z1" s="605" t="s">
        <v>628</v>
      </c>
      <c r="AA1" s="614" t="s">
        <v>621</v>
      </c>
      <c r="AB1" s="617" t="s">
        <v>350</v>
      </c>
      <c r="AC1" s="606" t="s">
        <v>629</v>
      </c>
      <c r="AD1" s="615" t="s">
        <v>622</v>
      </c>
      <c r="AE1" s="618" t="s">
        <v>351</v>
      </c>
      <c r="AF1" s="605" t="s">
        <v>628</v>
      </c>
      <c r="AG1" s="614" t="s">
        <v>621</v>
      </c>
      <c r="AH1" s="619" t="s">
        <v>352</v>
      </c>
      <c r="AI1" s="606" t="s">
        <v>629</v>
      </c>
      <c r="AJ1" s="615" t="s">
        <v>622</v>
      </c>
      <c r="AK1" s="620" t="s">
        <v>353</v>
      </c>
      <c r="AL1" s="605" t="s">
        <v>628</v>
      </c>
      <c r="AM1" s="614" t="s">
        <v>621</v>
      </c>
      <c r="AN1" s="101" t="s">
        <v>354</v>
      </c>
      <c r="AO1" s="606" t="s">
        <v>629</v>
      </c>
      <c r="AP1" s="615" t="s">
        <v>622</v>
      </c>
      <c r="AQ1" s="604" t="s">
        <v>355</v>
      </c>
      <c r="AR1" s="696" t="s">
        <v>356</v>
      </c>
      <c r="AS1" s="719" t="s">
        <v>628</v>
      </c>
      <c r="AT1" s="719" t="s">
        <v>621</v>
      </c>
      <c r="AU1" s="702" t="s">
        <v>357</v>
      </c>
      <c r="AV1" s="703" t="s">
        <v>358</v>
      </c>
      <c r="AW1" s="606" t="s">
        <v>629</v>
      </c>
      <c r="AX1" s="615" t="s">
        <v>622</v>
      </c>
      <c r="AY1" s="424" t="s">
        <v>514</v>
      </c>
      <c r="AZ1" s="425" t="s">
        <v>515</v>
      </c>
      <c r="BA1" s="426" t="s">
        <v>516</v>
      </c>
      <c r="BB1" s="427" t="s">
        <v>517</v>
      </c>
    </row>
    <row r="2" spans="1:54" ht="16.5" thickTop="1" x14ac:dyDescent="0.25">
      <c r="A2" s="1105" t="str">
        <f>'BASE GRANTEE INFO &amp; UPDATES'!A1</f>
        <v>WV Bureau for Behavioral Health and Health Facilities -Community Anti-Drug Coalitions of America and Teen Court</v>
      </c>
      <c r="B2" s="1106"/>
      <c r="C2" s="1106"/>
      <c r="D2" s="1106"/>
      <c r="E2" s="1106"/>
      <c r="F2" s="1106"/>
      <c r="G2" s="1106"/>
      <c r="H2" s="1106"/>
      <c r="I2" s="1106"/>
      <c r="J2" s="1106"/>
      <c r="K2" s="1106"/>
      <c r="L2" s="1106"/>
      <c r="M2" s="1106"/>
      <c r="N2" s="1106"/>
      <c r="O2" s="1106"/>
      <c r="P2" s="1106"/>
      <c r="Q2" s="1106"/>
      <c r="R2" s="1106"/>
      <c r="S2" s="1106"/>
      <c r="T2" s="1106"/>
      <c r="U2" s="1106"/>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726"/>
    </row>
    <row r="3" spans="1:54" ht="15.75" x14ac:dyDescent="0.25">
      <c r="A3" s="1105" t="str">
        <f>'BASE GRANTEE INFO &amp; UPDATES'!A2</f>
        <v>FISCAL YEAR: 2025 (09/30/2024 - 09/29/2025)</v>
      </c>
      <c r="B3" s="1106"/>
      <c r="C3" s="1106"/>
      <c r="D3" s="1106"/>
      <c r="E3" s="1106"/>
      <c r="F3" s="1106"/>
      <c r="G3" s="1106"/>
      <c r="H3" s="1106"/>
      <c r="I3" s="1106"/>
      <c r="J3" s="1106"/>
      <c r="K3" s="1106"/>
      <c r="L3" s="1106"/>
      <c r="M3" s="1106"/>
      <c r="N3" s="1106"/>
      <c r="O3" s="1106"/>
      <c r="P3" s="1106"/>
      <c r="Q3" s="1106"/>
      <c r="R3" s="1106"/>
      <c r="S3" s="1106"/>
      <c r="T3" s="1106"/>
      <c r="U3" s="1106"/>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727"/>
    </row>
    <row r="4" spans="1:54" ht="15.75" x14ac:dyDescent="0.25">
      <c r="A4" s="1166" t="str">
        <f>'BASE GRANTEE INFO &amp; UPDATES'!A3</f>
        <v xml:space="preserve">Program reports need to be submitted electronically, via e-mail to BBHReporting@wv.gov  within 25 calendar days of the end of each month </v>
      </c>
      <c r="B4" s="1167"/>
      <c r="C4" s="1167"/>
      <c r="D4" s="1167"/>
      <c r="E4" s="1167"/>
      <c r="F4" s="1167"/>
      <c r="G4" s="1167"/>
      <c r="H4" s="1167"/>
      <c r="I4" s="1167"/>
      <c r="J4" s="1167"/>
      <c r="K4" s="1167"/>
      <c r="L4" s="1167"/>
      <c r="M4" s="1167"/>
      <c r="N4" s="1167"/>
      <c r="O4" s="1167"/>
      <c r="P4" s="1167"/>
      <c r="Q4" s="1167"/>
      <c r="R4" s="1167"/>
      <c r="S4" s="1167"/>
      <c r="T4" s="1167"/>
      <c r="U4" s="1167"/>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728"/>
    </row>
    <row r="5" spans="1:54" ht="18.75" x14ac:dyDescent="0.25">
      <c r="A5" s="1168" t="s">
        <v>640</v>
      </c>
      <c r="B5" s="1168"/>
      <c r="C5" s="1168"/>
      <c r="D5" s="1168"/>
      <c r="E5" s="1168"/>
      <c r="F5" s="1168"/>
      <c r="G5" s="1168"/>
      <c r="H5" s="1168"/>
      <c r="I5" s="1168"/>
      <c r="J5" s="1168"/>
      <c r="K5" s="1168"/>
      <c r="L5" s="1168"/>
      <c r="M5" s="1168"/>
      <c r="N5" s="1168"/>
      <c r="O5" s="1168"/>
      <c r="P5" s="1168"/>
      <c r="Q5" s="1168"/>
      <c r="R5" s="1168"/>
      <c r="S5" s="1168"/>
      <c r="T5" s="1168"/>
      <c r="U5" s="1168"/>
      <c r="V5" s="1168"/>
      <c r="W5" s="1168"/>
      <c r="X5" s="1168"/>
      <c r="Y5" s="1168"/>
      <c r="Z5" s="1168"/>
      <c r="AA5" s="1168"/>
      <c r="AB5" s="1168"/>
      <c r="AC5" s="1168"/>
      <c r="AD5" s="1168"/>
      <c r="AE5" s="1168"/>
      <c r="AF5" s="1168"/>
      <c r="AG5" s="1168"/>
      <c r="AH5" s="1168"/>
      <c r="AI5" s="1168"/>
      <c r="AJ5" s="1168"/>
      <c r="AK5" s="1168"/>
      <c r="AL5" s="1168"/>
      <c r="AM5" s="1168"/>
      <c r="AN5" s="1168"/>
      <c r="AO5" s="1168"/>
      <c r="AP5" s="1168"/>
      <c r="AQ5" s="1168"/>
      <c r="AR5" s="1168"/>
      <c r="AS5" s="1168"/>
      <c r="AT5" s="1168"/>
      <c r="AU5" s="1168"/>
      <c r="AV5" s="12"/>
      <c r="AW5" s="12"/>
      <c r="AX5" s="12"/>
      <c r="AY5" s="12"/>
      <c r="AZ5" s="12"/>
      <c r="BA5" s="12"/>
      <c r="BB5" s="725"/>
    </row>
    <row r="6" spans="1:54" ht="15" customHeight="1" x14ac:dyDescent="0.25">
      <c r="A6" s="1113" t="s">
        <v>0</v>
      </c>
      <c r="B6" s="1114"/>
      <c r="C6" s="1114"/>
      <c r="D6" s="1115"/>
      <c r="E6" s="1152" t="str">
        <f>'BASE GRANTEE INFO &amp; UPDATES'!E5</f>
        <v xml:space="preserve">Community Anti-Drug Coalitions of America (CADCA) and Teen Court </v>
      </c>
      <c r="F6" s="1153"/>
      <c r="G6" s="1153"/>
      <c r="H6" s="1153"/>
      <c r="I6" s="1153"/>
      <c r="J6" s="1154"/>
      <c r="K6" s="1146" t="s">
        <v>1</v>
      </c>
      <c r="L6" s="1147"/>
      <c r="M6" s="1147"/>
      <c r="N6" s="1147"/>
      <c r="O6" s="1147"/>
      <c r="P6" s="1160">
        <f>'BASE GRANTEE INFO &amp; UPDATES'!M5</f>
        <v>0</v>
      </c>
      <c r="Q6" s="1161"/>
      <c r="R6" s="1161"/>
      <c r="S6" s="1161"/>
      <c r="T6" s="1161"/>
      <c r="U6" s="1161"/>
      <c r="V6" s="125"/>
      <c r="W6" s="93"/>
      <c r="X6" s="93"/>
      <c r="Y6" s="93"/>
      <c r="Z6" s="93"/>
      <c r="AA6" s="93"/>
      <c r="AB6" s="93"/>
      <c r="AC6" s="93"/>
      <c r="AD6" s="622"/>
      <c r="AE6" s="82"/>
      <c r="AF6" s="82"/>
      <c r="AG6" s="82"/>
      <c r="AH6" s="82"/>
      <c r="AI6" s="82"/>
      <c r="AJ6" s="82"/>
      <c r="AK6" s="82"/>
      <c r="AL6" s="82"/>
      <c r="AM6" s="82"/>
      <c r="AN6" s="82"/>
      <c r="AO6" s="82"/>
      <c r="AP6" s="82"/>
      <c r="AQ6" s="82"/>
      <c r="AR6" s="82"/>
      <c r="AS6" s="82"/>
      <c r="AT6" s="82"/>
      <c r="AU6" s="93"/>
      <c r="AV6" s="82"/>
      <c r="AW6" s="82"/>
      <c r="AX6" s="82"/>
      <c r="AY6" s="82"/>
      <c r="AZ6" s="82"/>
      <c r="BA6" s="82"/>
      <c r="BB6" s="650"/>
    </row>
    <row r="7" spans="1:54" x14ac:dyDescent="0.25">
      <c r="A7" s="1113" t="s">
        <v>2</v>
      </c>
      <c r="B7" s="1114"/>
      <c r="C7" s="1114"/>
      <c r="D7" s="1115"/>
      <c r="E7" s="1143" t="str">
        <f>'BASE GRANTEE INFO &amp; UPDATES'!E6</f>
        <v>CADCA In Action and Teen Court</v>
      </c>
      <c r="F7" s="1144"/>
      <c r="G7" s="1144"/>
      <c r="H7" s="1144"/>
      <c r="I7" s="1144"/>
      <c r="J7" s="1145"/>
      <c r="K7" s="1146" t="s">
        <v>3</v>
      </c>
      <c r="L7" s="1147"/>
      <c r="M7" s="1147"/>
      <c r="N7" s="1147"/>
      <c r="O7" s="1147"/>
      <c r="P7" s="1160">
        <f>'BASE GRANTEE INFO &amp; UPDATES'!M6</f>
        <v>0</v>
      </c>
      <c r="Q7" s="1161"/>
      <c r="R7" s="1161"/>
      <c r="S7" s="1161"/>
      <c r="T7" s="1161"/>
      <c r="U7" s="1161"/>
      <c r="V7" s="125"/>
      <c r="W7" s="93"/>
      <c r="X7" s="93"/>
      <c r="Y7" s="93"/>
      <c r="Z7" s="93"/>
      <c r="AA7" s="93"/>
      <c r="AB7" s="93"/>
      <c r="AC7" s="93"/>
      <c r="AD7" s="622"/>
      <c r="AE7" s="82"/>
      <c r="AF7" s="82"/>
      <c r="AG7" s="82"/>
      <c r="AH7" s="82"/>
      <c r="AI7" s="82"/>
      <c r="AJ7" s="82"/>
      <c r="AK7" s="82"/>
      <c r="AL7" s="82"/>
      <c r="AM7" s="82"/>
      <c r="AN7" s="82"/>
      <c r="AO7" s="82"/>
      <c r="AP7" s="82"/>
      <c r="AQ7" s="82"/>
      <c r="AR7" s="82"/>
      <c r="AS7" s="82"/>
      <c r="AT7" s="82"/>
      <c r="AU7" s="93"/>
      <c r="AV7" s="82"/>
      <c r="AW7" s="82"/>
      <c r="AX7" s="82"/>
      <c r="AY7" s="82"/>
      <c r="AZ7" s="82"/>
      <c r="BA7" s="82"/>
      <c r="BB7" s="650"/>
    </row>
    <row r="8" spans="1:54" ht="15" customHeight="1" x14ac:dyDescent="0.25">
      <c r="A8" s="1126" t="s">
        <v>4</v>
      </c>
      <c r="B8" s="1127"/>
      <c r="C8" s="1127"/>
      <c r="D8" s="1128"/>
      <c r="E8" s="1132">
        <f>'BASE GRANTEE INFO &amp; UPDATES'!E7</f>
        <v>0</v>
      </c>
      <c r="F8" s="1133"/>
      <c r="G8" s="1133"/>
      <c r="H8" s="1133"/>
      <c r="I8" s="1133"/>
      <c r="J8" s="1134"/>
      <c r="K8" s="1162" t="s">
        <v>374</v>
      </c>
      <c r="L8" s="1163"/>
      <c r="M8" s="1163"/>
      <c r="N8" s="1163"/>
      <c r="O8" s="1163"/>
      <c r="P8" s="1160">
        <f>'BASE GRANTEE INFO &amp; UPDATES'!M7</f>
        <v>0</v>
      </c>
      <c r="Q8" s="1161"/>
      <c r="R8" s="1161"/>
      <c r="S8" s="1161"/>
      <c r="T8" s="1161"/>
      <c r="U8" s="1161"/>
      <c r="V8" s="125"/>
      <c r="W8" s="93"/>
      <c r="X8" s="93"/>
      <c r="Y8" s="93"/>
      <c r="Z8" s="93"/>
      <c r="AA8" s="93"/>
      <c r="AB8" s="93"/>
      <c r="AC8" s="93"/>
      <c r="AD8" s="622"/>
      <c r="AE8" s="82"/>
      <c r="AF8" s="82"/>
      <c r="AG8" s="82"/>
      <c r="AH8" s="82"/>
      <c r="AI8" s="82"/>
      <c r="AJ8" s="82"/>
      <c r="AK8" s="82"/>
      <c r="AL8" s="82"/>
      <c r="AM8" s="82"/>
      <c r="AN8" s="82"/>
      <c r="AO8" s="82"/>
      <c r="AP8" s="82"/>
      <c r="AQ8" s="82"/>
      <c r="AR8" s="82"/>
      <c r="AS8" s="82"/>
      <c r="AT8" s="82"/>
      <c r="AU8" s="93"/>
      <c r="AV8" s="82"/>
      <c r="AW8" s="82"/>
      <c r="AX8" s="82"/>
      <c r="AY8" s="82"/>
      <c r="AZ8" s="82"/>
      <c r="BA8" s="82"/>
      <c r="BB8" s="650"/>
    </row>
    <row r="9" spans="1:54" x14ac:dyDescent="0.25">
      <c r="A9" s="1129"/>
      <c r="B9" s="1130"/>
      <c r="C9" s="1130"/>
      <c r="D9" s="1131"/>
      <c r="E9" s="1135"/>
      <c r="F9" s="1136"/>
      <c r="G9" s="1136"/>
      <c r="H9" s="1136"/>
      <c r="I9" s="1136"/>
      <c r="J9" s="1137"/>
      <c r="K9" s="1164" t="s">
        <v>6</v>
      </c>
      <c r="L9" s="1165"/>
      <c r="M9" s="1165"/>
      <c r="N9" s="1165"/>
      <c r="O9" s="1165"/>
      <c r="P9" s="1160">
        <f>'BASE GRANTEE INFO &amp; UPDATES'!M8</f>
        <v>0</v>
      </c>
      <c r="Q9" s="1161"/>
      <c r="R9" s="1161"/>
      <c r="S9" s="1161"/>
      <c r="T9" s="1161"/>
      <c r="U9" s="1161"/>
      <c r="V9" s="125"/>
      <c r="W9" s="93"/>
      <c r="X9" s="93"/>
      <c r="Y9" s="93"/>
      <c r="Z9" s="93"/>
      <c r="AA9" s="93"/>
      <c r="AB9" s="93"/>
      <c r="AC9" s="93"/>
      <c r="AD9" s="623"/>
      <c r="AE9" s="82"/>
      <c r="AF9" s="82"/>
      <c r="AG9" s="82"/>
      <c r="AH9" s="82"/>
      <c r="AI9" s="82"/>
      <c r="AJ9" s="82"/>
      <c r="AK9" s="82"/>
      <c r="AL9" s="82"/>
      <c r="AM9" s="82"/>
      <c r="AN9" s="82"/>
      <c r="AO9" s="82"/>
      <c r="AP9" s="82"/>
      <c r="AQ9" s="82"/>
      <c r="AR9" s="82"/>
      <c r="AS9" s="82"/>
      <c r="AT9" s="82"/>
      <c r="AU9" s="93"/>
      <c r="AV9" s="82"/>
      <c r="AW9" s="82"/>
      <c r="AX9" s="82"/>
      <c r="AY9" s="82"/>
      <c r="AZ9" s="82"/>
      <c r="BA9" s="82"/>
      <c r="BB9" s="650"/>
    </row>
    <row r="10" spans="1:54" x14ac:dyDescent="0.25">
      <c r="A10" s="1113" t="s">
        <v>7</v>
      </c>
      <c r="B10" s="1114"/>
      <c r="C10" s="1114"/>
      <c r="D10" s="1115"/>
      <c r="E10" s="1001" t="str">
        <f>'BASE GRANTEE INFO &amp; UPDATES'!E9</f>
        <v>September 1 - 30</v>
      </c>
      <c r="F10" s="1002"/>
      <c r="G10" s="1159">
        <f>'BASE GRANTEE INFO &amp; UPDATES'!G9</f>
        <v>2024</v>
      </c>
      <c r="H10" s="1159"/>
      <c r="I10" s="1159"/>
      <c r="J10" s="1159"/>
      <c r="K10" s="1150" t="s">
        <v>8</v>
      </c>
      <c r="L10" s="1151"/>
      <c r="M10" s="1151"/>
      <c r="N10" s="1151"/>
      <c r="O10" s="1151"/>
      <c r="P10" s="1160">
        <f>'BASE GRANTEE INFO &amp; UPDATES'!M9</f>
        <v>0</v>
      </c>
      <c r="Q10" s="1161"/>
      <c r="R10" s="1161"/>
      <c r="S10" s="1161"/>
      <c r="T10" s="1161"/>
      <c r="U10" s="1161"/>
      <c r="V10" s="626"/>
      <c r="W10" s="624"/>
      <c r="X10" s="624"/>
      <c r="Y10" s="624"/>
      <c r="Z10" s="624"/>
      <c r="AA10" s="624"/>
      <c r="AB10" s="624"/>
      <c r="AC10" s="624"/>
      <c r="AD10" s="625"/>
      <c r="AE10" s="231"/>
      <c r="AF10" s="231"/>
      <c r="AG10" s="231"/>
      <c r="AH10" s="231"/>
      <c r="AI10" s="231"/>
      <c r="AJ10" s="231"/>
      <c r="AK10" s="231"/>
      <c r="AL10" s="231"/>
      <c r="AM10" s="231"/>
      <c r="AN10" s="231"/>
      <c r="AO10" s="231"/>
      <c r="AP10" s="231"/>
      <c r="AQ10" s="82"/>
      <c r="AR10" s="82"/>
      <c r="AS10" s="82"/>
      <c r="AT10" s="82"/>
      <c r="AU10" s="93"/>
      <c r="AV10" s="82"/>
      <c r="AW10" s="82"/>
      <c r="AX10" s="82"/>
      <c r="AY10" s="82"/>
      <c r="AZ10" s="82"/>
      <c r="BA10" s="82"/>
      <c r="BB10" s="651"/>
    </row>
    <row r="11" spans="1:54" ht="18.75" x14ac:dyDescent="0.25">
      <c r="A11" s="1211" t="s">
        <v>359</v>
      </c>
      <c r="B11" s="1112"/>
      <c r="C11" s="1112"/>
      <c r="D11" s="1112"/>
      <c r="E11" s="1112"/>
      <c r="F11" s="1212"/>
      <c r="G11" s="1213" t="s">
        <v>630</v>
      </c>
      <c r="H11" s="1214"/>
      <c r="I11" s="1215"/>
      <c r="J11" s="1219" t="s">
        <v>631</v>
      </c>
      <c r="K11" s="1203"/>
      <c r="L11" s="1220"/>
      <c r="M11" s="1216" t="s">
        <v>632</v>
      </c>
      <c r="N11" s="1217"/>
      <c r="O11" s="1218"/>
      <c r="P11" s="1219" t="s">
        <v>633</v>
      </c>
      <c r="Q11" s="1203"/>
      <c r="R11" s="1220"/>
      <c r="S11" s="1216" t="s">
        <v>634</v>
      </c>
      <c r="T11" s="1217"/>
      <c r="U11" s="1218"/>
      <c r="V11" s="1202" t="s">
        <v>635</v>
      </c>
      <c r="W11" s="1203"/>
      <c r="X11" s="1204"/>
      <c r="Y11" s="1216" t="s">
        <v>636</v>
      </c>
      <c r="Z11" s="1217"/>
      <c r="AA11" s="1218"/>
      <c r="AB11" s="1221" t="s">
        <v>637</v>
      </c>
      <c r="AC11" s="1209"/>
      <c r="AD11" s="1222"/>
      <c r="AE11" s="1216" t="s">
        <v>638</v>
      </c>
      <c r="AF11" s="1217"/>
      <c r="AG11" s="1218"/>
      <c r="AH11" s="1202" t="s">
        <v>352</v>
      </c>
      <c r="AI11" s="1203"/>
      <c r="AJ11" s="1204"/>
      <c r="AK11" s="1216" t="s">
        <v>353</v>
      </c>
      <c r="AL11" s="1217"/>
      <c r="AM11" s="1218"/>
      <c r="AN11" s="1202" t="s">
        <v>639</v>
      </c>
      <c r="AO11" s="1203"/>
      <c r="AP11" s="1204"/>
      <c r="AQ11" s="1205" t="s">
        <v>745</v>
      </c>
      <c r="AR11" s="1206"/>
      <c r="AS11" s="1206"/>
      <c r="AT11" s="1207"/>
      <c r="AU11" s="1208" t="s">
        <v>746</v>
      </c>
      <c r="AV11" s="1209"/>
      <c r="AW11" s="1209"/>
      <c r="AX11" s="1210"/>
      <c r="AY11" s="1199" t="s">
        <v>747</v>
      </c>
      <c r="AZ11" s="1200"/>
      <c r="BA11" s="1200"/>
      <c r="BB11" s="1201"/>
    </row>
    <row r="12" spans="1:54" ht="65.099999999999994" customHeight="1" x14ac:dyDescent="0.25">
      <c r="A12" s="89" t="s">
        <v>245</v>
      </c>
      <c r="B12" s="90" t="s">
        <v>336</v>
      </c>
      <c r="C12" s="91" t="s">
        <v>337</v>
      </c>
      <c r="D12" s="90" t="s">
        <v>527</v>
      </c>
      <c r="E12" s="91" t="s">
        <v>532</v>
      </c>
      <c r="F12" s="121" t="s">
        <v>301</v>
      </c>
      <c r="G12" s="608" t="s">
        <v>343</v>
      </c>
      <c r="H12" s="609" t="s">
        <v>628</v>
      </c>
      <c r="I12" s="609" t="s">
        <v>621</v>
      </c>
      <c r="J12" s="704" t="s">
        <v>344</v>
      </c>
      <c r="K12" s="610" t="s">
        <v>629</v>
      </c>
      <c r="L12" s="610" t="s">
        <v>622</v>
      </c>
      <c r="M12" s="707" t="s">
        <v>345</v>
      </c>
      <c r="N12" s="609" t="s">
        <v>628</v>
      </c>
      <c r="O12" s="609" t="s">
        <v>621</v>
      </c>
      <c r="P12" s="704" t="s">
        <v>346</v>
      </c>
      <c r="Q12" s="610" t="s">
        <v>629</v>
      </c>
      <c r="R12" s="610" t="s">
        <v>622</v>
      </c>
      <c r="S12" s="707" t="s">
        <v>347</v>
      </c>
      <c r="T12" s="609" t="s">
        <v>628</v>
      </c>
      <c r="U12" s="609" t="s">
        <v>621</v>
      </c>
      <c r="V12" s="704" t="s">
        <v>348</v>
      </c>
      <c r="W12" s="610" t="s">
        <v>629</v>
      </c>
      <c r="X12" s="610" t="s">
        <v>622</v>
      </c>
      <c r="Y12" s="707" t="s">
        <v>349</v>
      </c>
      <c r="Z12" s="609" t="s">
        <v>628</v>
      </c>
      <c r="AA12" s="609" t="s">
        <v>621</v>
      </c>
      <c r="AB12" s="710" t="s">
        <v>350</v>
      </c>
      <c r="AC12" s="610" t="s">
        <v>629</v>
      </c>
      <c r="AD12" s="610" t="s">
        <v>622</v>
      </c>
      <c r="AE12" s="712" t="s">
        <v>351</v>
      </c>
      <c r="AF12" s="611" t="s">
        <v>628</v>
      </c>
      <c r="AG12" s="609" t="s">
        <v>621</v>
      </c>
      <c r="AH12" s="710" t="s">
        <v>352</v>
      </c>
      <c r="AI12" s="621" t="s">
        <v>629</v>
      </c>
      <c r="AJ12" s="610" t="s">
        <v>622</v>
      </c>
      <c r="AK12" s="714" t="s">
        <v>353</v>
      </c>
      <c r="AL12" s="611" t="s">
        <v>628</v>
      </c>
      <c r="AM12" s="609" t="s">
        <v>621</v>
      </c>
      <c r="AN12" s="710" t="s">
        <v>354</v>
      </c>
      <c r="AO12" s="621" t="s">
        <v>629</v>
      </c>
      <c r="AP12" s="602" t="s">
        <v>622</v>
      </c>
      <c r="AQ12" s="612" t="s">
        <v>355</v>
      </c>
      <c r="AR12" s="697" t="s">
        <v>356</v>
      </c>
      <c r="AS12" s="611" t="s">
        <v>628</v>
      </c>
      <c r="AT12" s="600" t="s">
        <v>621</v>
      </c>
      <c r="AU12" s="613" t="s">
        <v>534</v>
      </c>
      <c r="AV12" s="699" t="s">
        <v>358</v>
      </c>
      <c r="AW12" s="720" t="s">
        <v>629</v>
      </c>
      <c r="AX12" s="717" t="s">
        <v>622</v>
      </c>
      <c r="AY12" s="721" t="s">
        <v>514</v>
      </c>
      <c r="AZ12" s="722" t="s">
        <v>515</v>
      </c>
      <c r="BA12" s="723" t="s">
        <v>516</v>
      </c>
      <c r="BB12" s="724" t="s">
        <v>517</v>
      </c>
    </row>
    <row r="13" spans="1:54" ht="39.950000000000003" customHeight="1" x14ac:dyDescent="0.25">
      <c r="A13" s="18">
        <f>ROW(' 4CLIENT ACTIVITY - DISCHARGES'!A1)</f>
        <v>1</v>
      </c>
      <c r="B13" s="110">
        <f>'2DEMOGRAPHICS'!B13</f>
        <v>1</v>
      </c>
      <c r="C13" s="111" t="str">
        <f>'2DEMOGRAPHICS'!C13</f>
        <v>aaaaa11111aaaaa</v>
      </c>
      <c r="D13" s="112">
        <f>'2DEMOGRAPHICS'!D13</f>
        <v>44075</v>
      </c>
      <c r="E13" s="113">
        <f>'2DEMOGRAPHICS'!E13</f>
        <v>44077</v>
      </c>
      <c r="F13" s="122" t="s">
        <v>100</v>
      </c>
      <c r="G13" s="96" t="s">
        <v>362</v>
      </c>
      <c r="H13" s="601" t="s">
        <v>617</v>
      </c>
      <c r="I13" s="601" t="s">
        <v>641</v>
      </c>
      <c r="J13" s="705" t="s">
        <v>362</v>
      </c>
      <c r="K13" s="603" t="s">
        <v>617</v>
      </c>
      <c r="L13" s="603" t="s">
        <v>641</v>
      </c>
      <c r="M13" s="708" t="s">
        <v>362</v>
      </c>
      <c r="N13" s="601" t="s">
        <v>617</v>
      </c>
      <c r="O13" s="601" t="s">
        <v>641</v>
      </c>
      <c r="P13" s="705" t="s">
        <v>362</v>
      </c>
      <c r="Q13" s="603" t="s">
        <v>617</v>
      </c>
      <c r="R13" s="603" t="s">
        <v>641</v>
      </c>
      <c r="S13" s="708" t="s">
        <v>362</v>
      </c>
      <c r="T13" s="601" t="s">
        <v>617</v>
      </c>
      <c r="U13" s="601" t="s">
        <v>641</v>
      </c>
      <c r="V13" s="705" t="s">
        <v>362</v>
      </c>
      <c r="W13" s="603" t="s">
        <v>617</v>
      </c>
      <c r="X13" s="603" t="s">
        <v>641</v>
      </c>
      <c r="Y13" s="708" t="s">
        <v>362</v>
      </c>
      <c r="Z13" s="601" t="s">
        <v>617</v>
      </c>
      <c r="AA13" s="601" t="s">
        <v>641</v>
      </c>
      <c r="AB13" s="711" t="s">
        <v>362</v>
      </c>
      <c r="AC13" s="603" t="s">
        <v>617</v>
      </c>
      <c r="AD13" s="603" t="s">
        <v>641</v>
      </c>
      <c r="AE13" s="713" t="s">
        <v>362</v>
      </c>
      <c r="AF13" s="607" t="s">
        <v>617</v>
      </c>
      <c r="AG13" s="601" t="s">
        <v>641</v>
      </c>
      <c r="AH13" s="711" t="s">
        <v>362</v>
      </c>
      <c r="AI13" s="603" t="s">
        <v>617</v>
      </c>
      <c r="AJ13" s="603" t="s">
        <v>641</v>
      </c>
      <c r="AK13" s="715" t="s">
        <v>362</v>
      </c>
      <c r="AL13" s="607" t="s">
        <v>617</v>
      </c>
      <c r="AM13" s="601" t="s">
        <v>641</v>
      </c>
      <c r="AN13" s="705" t="s">
        <v>362</v>
      </c>
      <c r="AO13" s="603" t="s">
        <v>617</v>
      </c>
      <c r="AP13" s="599" t="s">
        <v>641</v>
      </c>
      <c r="AQ13" s="123" t="s">
        <v>362</v>
      </c>
      <c r="AR13" s="698" t="s">
        <v>22</v>
      </c>
      <c r="AS13" s="607" t="s">
        <v>617</v>
      </c>
      <c r="AT13" s="598" t="s">
        <v>641</v>
      </c>
      <c r="AU13" s="185" t="s">
        <v>362</v>
      </c>
      <c r="AV13" s="700" t="s">
        <v>22</v>
      </c>
      <c r="AW13" s="603" t="s">
        <v>617</v>
      </c>
      <c r="AX13" s="718" t="s">
        <v>641</v>
      </c>
      <c r="AY13" s="701" t="s">
        <v>100</v>
      </c>
      <c r="AZ13" s="406">
        <v>44077</v>
      </c>
      <c r="BA13" s="399" t="s">
        <v>522</v>
      </c>
      <c r="BB13" s="397" t="s">
        <v>22</v>
      </c>
    </row>
    <row r="14" spans="1:54" ht="39.950000000000003" customHeight="1" x14ac:dyDescent="0.25">
      <c r="A14" s="18">
        <f t="shared" ref="A14:A23" si="0">ROW(A2)</f>
        <v>2</v>
      </c>
      <c r="B14" s="110">
        <f>'2DEMOGRAPHICS'!B14</f>
        <v>2</v>
      </c>
      <c r="C14" s="111" t="str">
        <f>'2DEMOGRAPHICS'!C14</f>
        <v>aaaaa11111aaaaa</v>
      </c>
      <c r="D14" s="112">
        <f>'2DEMOGRAPHICS'!D14</f>
        <v>44105</v>
      </c>
      <c r="E14" s="113">
        <f>'2DEMOGRAPHICS'!E14</f>
        <v>44107</v>
      </c>
      <c r="F14" s="122" t="s">
        <v>104</v>
      </c>
      <c r="G14" s="96" t="s">
        <v>363</v>
      </c>
      <c r="H14" s="601" t="s">
        <v>618</v>
      </c>
      <c r="I14" s="601" t="s">
        <v>642</v>
      </c>
      <c r="J14" s="705" t="s">
        <v>363</v>
      </c>
      <c r="K14" s="603" t="s">
        <v>618</v>
      </c>
      <c r="L14" s="603" t="s">
        <v>642</v>
      </c>
      <c r="M14" s="708" t="s">
        <v>363</v>
      </c>
      <c r="N14" s="601" t="s">
        <v>618</v>
      </c>
      <c r="O14" s="601" t="s">
        <v>642</v>
      </c>
      <c r="P14" s="705" t="s">
        <v>363</v>
      </c>
      <c r="Q14" s="603" t="s">
        <v>618</v>
      </c>
      <c r="R14" s="603" t="s">
        <v>642</v>
      </c>
      <c r="S14" s="708" t="s">
        <v>363</v>
      </c>
      <c r="T14" s="601" t="s">
        <v>618</v>
      </c>
      <c r="U14" s="601" t="s">
        <v>642</v>
      </c>
      <c r="V14" s="705" t="s">
        <v>363</v>
      </c>
      <c r="W14" s="603" t="s">
        <v>618</v>
      </c>
      <c r="X14" s="603" t="s">
        <v>642</v>
      </c>
      <c r="Y14" s="708" t="s">
        <v>363</v>
      </c>
      <c r="Z14" s="601" t="s">
        <v>618</v>
      </c>
      <c r="AA14" s="601" t="s">
        <v>642</v>
      </c>
      <c r="AB14" s="705" t="s">
        <v>363</v>
      </c>
      <c r="AC14" s="603" t="s">
        <v>618</v>
      </c>
      <c r="AD14" s="603" t="s">
        <v>642</v>
      </c>
      <c r="AE14" s="708" t="s">
        <v>363</v>
      </c>
      <c r="AF14" s="601" t="s">
        <v>618</v>
      </c>
      <c r="AG14" s="601" t="s">
        <v>642</v>
      </c>
      <c r="AH14" s="705" t="s">
        <v>363</v>
      </c>
      <c r="AI14" s="603" t="s">
        <v>618</v>
      </c>
      <c r="AJ14" s="603" t="s">
        <v>642</v>
      </c>
      <c r="AK14" s="715" t="s">
        <v>363</v>
      </c>
      <c r="AL14" s="601" t="s">
        <v>618</v>
      </c>
      <c r="AM14" s="601" t="s">
        <v>642</v>
      </c>
      <c r="AN14" s="705" t="s">
        <v>363</v>
      </c>
      <c r="AO14" s="603" t="s">
        <v>618</v>
      </c>
      <c r="AP14" s="599" t="s">
        <v>642</v>
      </c>
      <c r="AQ14" s="123" t="s">
        <v>363</v>
      </c>
      <c r="AR14" s="698" t="s">
        <v>22</v>
      </c>
      <c r="AS14" s="601" t="s">
        <v>618</v>
      </c>
      <c r="AT14" s="598" t="s">
        <v>642</v>
      </c>
      <c r="AU14" s="185" t="s">
        <v>363</v>
      </c>
      <c r="AV14" s="700" t="s">
        <v>22</v>
      </c>
      <c r="AW14" s="603" t="s">
        <v>618</v>
      </c>
      <c r="AX14" s="718" t="s">
        <v>642</v>
      </c>
      <c r="AY14" s="701" t="s">
        <v>104</v>
      </c>
      <c r="AZ14" s="406">
        <v>44107</v>
      </c>
      <c r="BA14" s="412" t="s">
        <v>520</v>
      </c>
      <c r="BB14" s="397" t="s">
        <v>22</v>
      </c>
    </row>
    <row r="15" spans="1:54" ht="39.950000000000003" customHeight="1" x14ac:dyDescent="0.25">
      <c r="A15" s="18">
        <f t="shared" si="0"/>
        <v>3</v>
      </c>
      <c r="B15" s="110">
        <f>'2DEMOGRAPHICS'!B15</f>
        <v>3</v>
      </c>
      <c r="C15" s="111" t="str">
        <f>'2DEMOGRAPHICS'!C15</f>
        <v>aaaaa11111aaaaa</v>
      </c>
      <c r="D15" s="112">
        <f>'2DEMOGRAPHICS'!D15</f>
        <v>44136</v>
      </c>
      <c r="E15" s="113">
        <f>'2DEMOGRAPHICS'!E15</f>
        <v>44137</v>
      </c>
      <c r="F15" s="122" t="s">
        <v>100</v>
      </c>
      <c r="G15" s="96" t="s">
        <v>364</v>
      </c>
      <c r="H15" s="601" t="s">
        <v>619</v>
      </c>
      <c r="I15" s="601" t="s">
        <v>643</v>
      </c>
      <c r="J15" s="705" t="s">
        <v>364</v>
      </c>
      <c r="K15" s="603" t="s">
        <v>619</v>
      </c>
      <c r="L15" s="603" t="s">
        <v>643</v>
      </c>
      <c r="M15" s="708" t="s">
        <v>364</v>
      </c>
      <c r="N15" s="601" t="s">
        <v>619</v>
      </c>
      <c r="O15" s="601" t="s">
        <v>643</v>
      </c>
      <c r="P15" s="705" t="s">
        <v>364</v>
      </c>
      <c r="Q15" s="603" t="s">
        <v>619</v>
      </c>
      <c r="R15" s="603" t="s">
        <v>643</v>
      </c>
      <c r="S15" s="708" t="s">
        <v>364</v>
      </c>
      <c r="T15" s="601" t="s">
        <v>619</v>
      </c>
      <c r="U15" s="601" t="s">
        <v>643</v>
      </c>
      <c r="V15" s="705" t="s">
        <v>364</v>
      </c>
      <c r="W15" s="603" t="s">
        <v>619</v>
      </c>
      <c r="X15" s="603" t="s">
        <v>643</v>
      </c>
      <c r="Y15" s="708" t="s">
        <v>364</v>
      </c>
      <c r="Z15" s="601" t="s">
        <v>619</v>
      </c>
      <c r="AA15" s="601" t="s">
        <v>643</v>
      </c>
      <c r="AB15" s="705" t="s">
        <v>364</v>
      </c>
      <c r="AC15" s="603" t="s">
        <v>619</v>
      </c>
      <c r="AD15" s="603" t="s">
        <v>643</v>
      </c>
      <c r="AE15" s="708" t="s">
        <v>364</v>
      </c>
      <c r="AF15" s="601" t="s">
        <v>619</v>
      </c>
      <c r="AG15" s="601" t="s">
        <v>643</v>
      </c>
      <c r="AH15" s="705" t="s">
        <v>364</v>
      </c>
      <c r="AI15" s="603" t="s">
        <v>619</v>
      </c>
      <c r="AJ15" s="603" t="s">
        <v>643</v>
      </c>
      <c r="AK15" s="715" t="s">
        <v>364</v>
      </c>
      <c r="AL15" s="601" t="s">
        <v>619</v>
      </c>
      <c r="AM15" s="601" t="s">
        <v>643</v>
      </c>
      <c r="AN15" s="705" t="s">
        <v>364</v>
      </c>
      <c r="AO15" s="603" t="s">
        <v>619</v>
      </c>
      <c r="AP15" s="599" t="s">
        <v>643</v>
      </c>
      <c r="AQ15" s="123" t="s">
        <v>364</v>
      </c>
      <c r="AR15" s="698" t="s">
        <v>22</v>
      </c>
      <c r="AS15" s="601" t="s">
        <v>619</v>
      </c>
      <c r="AT15" s="598" t="s">
        <v>643</v>
      </c>
      <c r="AU15" s="185" t="s">
        <v>364</v>
      </c>
      <c r="AV15" s="700" t="s">
        <v>22</v>
      </c>
      <c r="AW15" s="603" t="s">
        <v>619</v>
      </c>
      <c r="AX15" s="718" t="s">
        <v>643</v>
      </c>
      <c r="AY15" s="701" t="s">
        <v>100</v>
      </c>
      <c r="AZ15" s="406">
        <v>44137</v>
      </c>
      <c r="BA15" s="412" t="s">
        <v>518</v>
      </c>
      <c r="BB15" s="397" t="s">
        <v>22</v>
      </c>
    </row>
    <row r="16" spans="1:54" ht="39.950000000000003" customHeight="1" x14ac:dyDescent="0.25">
      <c r="A16" s="18">
        <f t="shared" si="0"/>
        <v>4</v>
      </c>
      <c r="B16" s="110">
        <f>'2DEMOGRAPHICS'!B16</f>
        <v>4</v>
      </c>
      <c r="C16" s="111" t="str">
        <f>'2DEMOGRAPHICS'!C16</f>
        <v>aaaaa11111aaaaa</v>
      </c>
      <c r="D16" s="112">
        <f>'2DEMOGRAPHICS'!D16</f>
        <v>44166</v>
      </c>
      <c r="E16" s="113">
        <f>'2DEMOGRAPHICS'!E16</f>
        <v>44170</v>
      </c>
      <c r="F16" s="122" t="s">
        <v>104</v>
      </c>
      <c r="G16" s="96" t="s">
        <v>362</v>
      </c>
      <c r="H16" s="601" t="s">
        <v>620</v>
      </c>
      <c r="I16" s="601" t="s">
        <v>644</v>
      </c>
      <c r="J16" s="705" t="s">
        <v>362</v>
      </c>
      <c r="K16" s="603" t="s">
        <v>620</v>
      </c>
      <c r="L16" s="603" t="s">
        <v>644</v>
      </c>
      <c r="M16" s="708" t="s">
        <v>362</v>
      </c>
      <c r="N16" s="601" t="s">
        <v>620</v>
      </c>
      <c r="O16" s="601" t="s">
        <v>644</v>
      </c>
      <c r="P16" s="705" t="s">
        <v>362</v>
      </c>
      <c r="Q16" s="603" t="s">
        <v>620</v>
      </c>
      <c r="R16" s="603" t="s">
        <v>644</v>
      </c>
      <c r="S16" s="708" t="s">
        <v>362</v>
      </c>
      <c r="T16" s="601" t="s">
        <v>620</v>
      </c>
      <c r="U16" s="601" t="s">
        <v>644</v>
      </c>
      <c r="V16" s="705" t="s">
        <v>362</v>
      </c>
      <c r="W16" s="603" t="s">
        <v>620</v>
      </c>
      <c r="X16" s="603" t="s">
        <v>644</v>
      </c>
      <c r="Y16" s="708" t="s">
        <v>362</v>
      </c>
      <c r="Z16" s="601" t="s">
        <v>620</v>
      </c>
      <c r="AA16" s="601" t="s">
        <v>644</v>
      </c>
      <c r="AB16" s="705" t="s">
        <v>362</v>
      </c>
      <c r="AC16" s="603" t="s">
        <v>620</v>
      </c>
      <c r="AD16" s="603" t="s">
        <v>644</v>
      </c>
      <c r="AE16" s="708" t="s">
        <v>362</v>
      </c>
      <c r="AF16" s="601" t="s">
        <v>620</v>
      </c>
      <c r="AG16" s="601" t="s">
        <v>644</v>
      </c>
      <c r="AH16" s="705" t="s">
        <v>362</v>
      </c>
      <c r="AI16" s="603" t="s">
        <v>620</v>
      </c>
      <c r="AJ16" s="603" t="s">
        <v>644</v>
      </c>
      <c r="AK16" s="715" t="s">
        <v>362</v>
      </c>
      <c r="AL16" s="601" t="s">
        <v>620</v>
      </c>
      <c r="AM16" s="601" t="s">
        <v>644</v>
      </c>
      <c r="AN16" s="705" t="s">
        <v>362</v>
      </c>
      <c r="AO16" s="603" t="s">
        <v>620</v>
      </c>
      <c r="AP16" s="599" t="s">
        <v>644</v>
      </c>
      <c r="AQ16" s="123" t="s">
        <v>362</v>
      </c>
      <c r="AR16" s="698" t="s">
        <v>22</v>
      </c>
      <c r="AS16" s="601" t="s">
        <v>620</v>
      </c>
      <c r="AT16" s="598" t="s">
        <v>644</v>
      </c>
      <c r="AU16" s="185" t="s">
        <v>362</v>
      </c>
      <c r="AV16" s="700" t="s">
        <v>22</v>
      </c>
      <c r="AW16" s="603" t="s">
        <v>620</v>
      </c>
      <c r="AX16" s="718" t="s">
        <v>644</v>
      </c>
      <c r="AY16" s="701" t="s">
        <v>104</v>
      </c>
      <c r="AZ16" s="406">
        <v>44170</v>
      </c>
      <c r="BA16" s="412" t="s">
        <v>192</v>
      </c>
      <c r="BB16" s="397" t="s">
        <v>22</v>
      </c>
    </row>
    <row r="17" spans="1:54" ht="39.950000000000003" customHeight="1" x14ac:dyDescent="0.25">
      <c r="A17" s="18">
        <f t="shared" si="0"/>
        <v>5</v>
      </c>
      <c r="B17" s="110">
        <f>'2DEMOGRAPHICS'!B17</f>
        <v>5</v>
      </c>
      <c r="C17" s="111" t="str">
        <f>'2DEMOGRAPHICS'!C17</f>
        <v>aaaaa11111aaaaa</v>
      </c>
      <c r="D17" s="112">
        <f>'2DEMOGRAPHICS'!D17</f>
        <v>44197</v>
      </c>
      <c r="E17" s="113">
        <f>'2DEMOGRAPHICS'!E17</f>
        <v>44201</v>
      </c>
      <c r="F17" s="122" t="s">
        <v>100</v>
      </c>
      <c r="G17" s="96" t="s">
        <v>363</v>
      </c>
      <c r="H17" s="601" t="s">
        <v>617</v>
      </c>
      <c r="I17" s="601" t="s">
        <v>645</v>
      </c>
      <c r="J17" s="705" t="s">
        <v>363</v>
      </c>
      <c r="K17" s="603" t="s">
        <v>617</v>
      </c>
      <c r="L17" s="603" t="s">
        <v>645</v>
      </c>
      <c r="M17" s="708" t="s">
        <v>363</v>
      </c>
      <c r="N17" s="601" t="s">
        <v>617</v>
      </c>
      <c r="O17" s="601" t="s">
        <v>645</v>
      </c>
      <c r="P17" s="705" t="s">
        <v>363</v>
      </c>
      <c r="Q17" s="603" t="s">
        <v>617</v>
      </c>
      <c r="R17" s="603" t="s">
        <v>645</v>
      </c>
      <c r="S17" s="708" t="s">
        <v>363</v>
      </c>
      <c r="T17" s="601" t="s">
        <v>617</v>
      </c>
      <c r="U17" s="601" t="s">
        <v>645</v>
      </c>
      <c r="V17" s="705" t="s">
        <v>363</v>
      </c>
      <c r="W17" s="603" t="s">
        <v>617</v>
      </c>
      <c r="X17" s="603" t="s">
        <v>645</v>
      </c>
      <c r="Y17" s="708" t="s">
        <v>363</v>
      </c>
      <c r="Z17" s="601" t="s">
        <v>617</v>
      </c>
      <c r="AA17" s="601" t="s">
        <v>645</v>
      </c>
      <c r="AB17" s="705" t="s">
        <v>363</v>
      </c>
      <c r="AC17" s="603" t="s">
        <v>617</v>
      </c>
      <c r="AD17" s="603" t="s">
        <v>645</v>
      </c>
      <c r="AE17" s="708" t="s">
        <v>363</v>
      </c>
      <c r="AF17" s="601" t="s">
        <v>617</v>
      </c>
      <c r="AG17" s="601" t="s">
        <v>645</v>
      </c>
      <c r="AH17" s="705" t="s">
        <v>363</v>
      </c>
      <c r="AI17" s="603" t="s">
        <v>617</v>
      </c>
      <c r="AJ17" s="603" t="s">
        <v>645</v>
      </c>
      <c r="AK17" s="715" t="s">
        <v>363</v>
      </c>
      <c r="AL17" s="601" t="s">
        <v>617</v>
      </c>
      <c r="AM17" s="601" t="s">
        <v>645</v>
      </c>
      <c r="AN17" s="705" t="s">
        <v>363</v>
      </c>
      <c r="AO17" s="603" t="s">
        <v>617</v>
      </c>
      <c r="AP17" s="599" t="s">
        <v>645</v>
      </c>
      <c r="AQ17" s="123" t="s">
        <v>363</v>
      </c>
      <c r="AR17" s="698" t="s">
        <v>22</v>
      </c>
      <c r="AS17" s="601" t="s">
        <v>617</v>
      </c>
      <c r="AT17" s="598" t="s">
        <v>645</v>
      </c>
      <c r="AU17" s="185" t="s">
        <v>363</v>
      </c>
      <c r="AV17" s="700" t="s">
        <v>22</v>
      </c>
      <c r="AW17" s="603" t="s">
        <v>617</v>
      </c>
      <c r="AX17" s="718" t="s">
        <v>645</v>
      </c>
      <c r="AY17" s="701" t="s">
        <v>100</v>
      </c>
      <c r="AZ17" s="406">
        <v>44201</v>
      </c>
      <c r="BA17" s="399" t="s">
        <v>522</v>
      </c>
      <c r="BB17" s="397" t="s">
        <v>22</v>
      </c>
    </row>
    <row r="18" spans="1:54" ht="39.950000000000003" customHeight="1" x14ac:dyDescent="0.25">
      <c r="A18" s="18">
        <f t="shared" si="0"/>
        <v>6</v>
      </c>
      <c r="B18" s="110">
        <f>'2DEMOGRAPHICS'!B18</f>
        <v>6</v>
      </c>
      <c r="C18" s="111" t="str">
        <f>'2DEMOGRAPHICS'!C18</f>
        <v>aaaaa11111aaaaa</v>
      </c>
      <c r="D18" s="112">
        <f>'2DEMOGRAPHICS'!D18</f>
        <v>44228</v>
      </c>
      <c r="E18" s="113">
        <f>'2DEMOGRAPHICS'!E18</f>
        <v>44230</v>
      </c>
      <c r="F18" s="122" t="s">
        <v>104</v>
      </c>
      <c r="G18" s="96" t="s">
        <v>364</v>
      </c>
      <c r="H18" s="601" t="s">
        <v>618</v>
      </c>
      <c r="I18" s="601" t="s">
        <v>641</v>
      </c>
      <c r="J18" s="705" t="s">
        <v>364</v>
      </c>
      <c r="K18" s="603" t="s">
        <v>618</v>
      </c>
      <c r="L18" s="603" t="s">
        <v>641</v>
      </c>
      <c r="M18" s="708" t="s">
        <v>364</v>
      </c>
      <c r="N18" s="601" t="s">
        <v>618</v>
      </c>
      <c r="O18" s="601" t="s">
        <v>641</v>
      </c>
      <c r="P18" s="705" t="s">
        <v>364</v>
      </c>
      <c r="Q18" s="603" t="s">
        <v>618</v>
      </c>
      <c r="R18" s="603" t="s">
        <v>641</v>
      </c>
      <c r="S18" s="708" t="s">
        <v>364</v>
      </c>
      <c r="T18" s="601" t="s">
        <v>618</v>
      </c>
      <c r="U18" s="601" t="s">
        <v>641</v>
      </c>
      <c r="V18" s="705" t="s">
        <v>364</v>
      </c>
      <c r="W18" s="603" t="s">
        <v>618</v>
      </c>
      <c r="X18" s="603" t="s">
        <v>641</v>
      </c>
      <c r="Y18" s="708" t="s">
        <v>364</v>
      </c>
      <c r="Z18" s="601" t="s">
        <v>618</v>
      </c>
      <c r="AA18" s="601" t="s">
        <v>641</v>
      </c>
      <c r="AB18" s="705" t="s">
        <v>364</v>
      </c>
      <c r="AC18" s="603" t="s">
        <v>618</v>
      </c>
      <c r="AD18" s="603" t="s">
        <v>641</v>
      </c>
      <c r="AE18" s="708" t="s">
        <v>364</v>
      </c>
      <c r="AF18" s="601" t="s">
        <v>618</v>
      </c>
      <c r="AG18" s="601" t="s">
        <v>641</v>
      </c>
      <c r="AH18" s="705" t="s">
        <v>364</v>
      </c>
      <c r="AI18" s="603" t="s">
        <v>618</v>
      </c>
      <c r="AJ18" s="603" t="s">
        <v>641</v>
      </c>
      <c r="AK18" s="715" t="s">
        <v>364</v>
      </c>
      <c r="AL18" s="601" t="s">
        <v>618</v>
      </c>
      <c r="AM18" s="601" t="s">
        <v>641</v>
      </c>
      <c r="AN18" s="705" t="s">
        <v>364</v>
      </c>
      <c r="AO18" s="603" t="s">
        <v>618</v>
      </c>
      <c r="AP18" s="599" t="s">
        <v>641</v>
      </c>
      <c r="AQ18" s="123" t="s">
        <v>364</v>
      </c>
      <c r="AR18" s="698" t="s">
        <v>22</v>
      </c>
      <c r="AS18" s="601" t="s">
        <v>618</v>
      </c>
      <c r="AT18" s="598" t="s">
        <v>641</v>
      </c>
      <c r="AU18" s="185" t="s">
        <v>364</v>
      </c>
      <c r="AV18" s="700" t="s">
        <v>22</v>
      </c>
      <c r="AW18" s="603" t="s">
        <v>618</v>
      </c>
      <c r="AX18" s="718" t="s">
        <v>641</v>
      </c>
      <c r="AY18" s="701" t="s">
        <v>104</v>
      </c>
      <c r="AZ18" s="406">
        <v>44230</v>
      </c>
      <c r="BA18" s="412" t="s">
        <v>520</v>
      </c>
      <c r="BB18" s="397" t="s">
        <v>22</v>
      </c>
    </row>
    <row r="19" spans="1:54" ht="39.950000000000003" customHeight="1" x14ac:dyDescent="0.25">
      <c r="A19" s="18">
        <f t="shared" si="0"/>
        <v>7</v>
      </c>
      <c r="B19" s="110">
        <f>'2DEMOGRAPHICS'!B19</f>
        <v>7</v>
      </c>
      <c r="C19" s="111" t="str">
        <f>'2DEMOGRAPHICS'!C19</f>
        <v>aaaaa11111aaaaa</v>
      </c>
      <c r="D19" s="112">
        <f>'2DEMOGRAPHICS'!D19</f>
        <v>44256</v>
      </c>
      <c r="E19" s="113">
        <f>'2DEMOGRAPHICS'!E19</f>
        <v>44259</v>
      </c>
      <c r="F19" s="122" t="s">
        <v>100</v>
      </c>
      <c r="G19" s="96" t="s">
        <v>362</v>
      </c>
      <c r="H19" s="601" t="s">
        <v>619</v>
      </c>
      <c r="I19" s="601" t="s">
        <v>642</v>
      </c>
      <c r="J19" s="705" t="s">
        <v>362</v>
      </c>
      <c r="K19" s="603" t="s">
        <v>619</v>
      </c>
      <c r="L19" s="603" t="s">
        <v>642</v>
      </c>
      <c r="M19" s="708" t="s">
        <v>362</v>
      </c>
      <c r="N19" s="601" t="s">
        <v>619</v>
      </c>
      <c r="O19" s="601" t="s">
        <v>642</v>
      </c>
      <c r="P19" s="705" t="s">
        <v>362</v>
      </c>
      <c r="Q19" s="603" t="s">
        <v>619</v>
      </c>
      <c r="R19" s="603" t="s">
        <v>642</v>
      </c>
      <c r="S19" s="708" t="s">
        <v>362</v>
      </c>
      <c r="T19" s="601" t="s">
        <v>619</v>
      </c>
      <c r="U19" s="601" t="s">
        <v>642</v>
      </c>
      <c r="V19" s="705" t="s">
        <v>362</v>
      </c>
      <c r="W19" s="603" t="s">
        <v>619</v>
      </c>
      <c r="X19" s="603" t="s">
        <v>642</v>
      </c>
      <c r="Y19" s="708" t="s">
        <v>362</v>
      </c>
      <c r="Z19" s="601" t="s">
        <v>619</v>
      </c>
      <c r="AA19" s="601" t="s">
        <v>642</v>
      </c>
      <c r="AB19" s="705" t="s">
        <v>362</v>
      </c>
      <c r="AC19" s="603" t="s">
        <v>619</v>
      </c>
      <c r="AD19" s="603" t="s">
        <v>642</v>
      </c>
      <c r="AE19" s="708" t="s">
        <v>362</v>
      </c>
      <c r="AF19" s="601" t="s">
        <v>619</v>
      </c>
      <c r="AG19" s="601" t="s">
        <v>642</v>
      </c>
      <c r="AH19" s="705" t="s">
        <v>362</v>
      </c>
      <c r="AI19" s="603" t="s">
        <v>619</v>
      </c>
      <c r="AJ19" s="603" t="s">
        <v>642</v>
      </c>
      <c r="AK19" s="715" t="s">
        <v>362</v>
      </c>
      <c r="AL19" s="601" t="s">
        <v>619</v>
      </c>
      <c r="AM19" s="601" t="s">
        <v>642</v>
      </c>
      <c r="AN19" s="705" t="s">
        <v>362</v>
      </c>
      <c r="AO19" s="603" t="s">
        <v>619</v>
      </c>
      <c r="AP19" s="599" t="s">
        <v>642</v>
      </c>
      <c r="AQ19" s="123" t="s">
        <v>362</v>
      </c>
      <c r="AR19" s="698" t="s">
        <v>22</v>
      </c>
      <c r="AS19" s="601" t="s">
        <v>619</v>
      </c>
      <c r="AT19" s="598" t="s">
        <v>642</v>
      </c>
      <c r="AU19" s="185" t="s">
        <v>362</v>
      </c>
      <c r="AV19" s="700" t="s">
        <v>22</v>
      </c>
      <c r="AW19" s="603" t="s">
        <v>619</v>
      </c>
      <c r="AX19" s="718" t="s">
        <v>642</v>
      </c>
      <c r="AY19" s="701" t="s">
        <v>100</v>
      </c>
      <c r="AZ19" s="406">
        <v>44259</v>
      </c>
      <c r="BA19" s="412" t="s">
        <v>518</v>
      </c>
      <c r="BB19" s="397" t="s">
        <v>22</v>
      </c>
    </row>
    <row r="20" spans="1:54" ht="39.950000000000003" customHeight="1" x14ac:dyDescent="0.25">
      <c r="A20" s="18">
        <f t="shared" si="0"/>
        <v>8</v>
      </c>
      <c r="B20" s="110">
        <f>'2DEMOGRAPHICS'!B20</f>
        <v>8</v>
      </c>
      <c r="C20" s="111" t="str">
        <f>'2DEMOGRAPHICS'!C20</f>
        <v>aaaaa11111aaaaa</v>
      </c>
      <c r="D20" s="112">
        <f>'2DEMOGRAPHICS'!D20</f>
        <v>44287</v>
      </c>
      <c r="E20" s="113">
        <f>'2DEMOGRAPHICS'!E20</f>
        <v>44291</v>
      </c>
      <c r="F20" s="122" t="s">
        <v>104</v>
      </c>
      <c r="G20" s="96" t="s">
        <v>363</v>
      </c>
      <c r="H20" s="601" t="s">
        <v>620</v>
      </c>
      <c r="I20" s="601" t="s">
        <v>643</v>
      </c>
      <c r="J20" s="705" t="s">
        <v>363</v>
      </c>
      <c r="K20" s="603" t="s">
        <v>620</v>
      </c>
      <c r="L20" s="603" t="s">
        <v>643</v>
      </c>
      <c r="M20" s="708" t="s">
        <v>363</v>
      </c>
      <c r="N20" s="601" t="s">
        <v>620</v>
      </c>
      <c r="O20" s="601" t="s">
        <v>643</v>
      </c>
      <c r="P20" s="705" t="s">
        <v>363</v>
      </c>
      <c r="Q20" s="603" t="s">
        <v>620</v>
      </c>
      <c r="R20" s="603" t="s">
        <v>643</v>
      </c>
      <c r="S20" s="708" t="s">
        <v>363</v>
      </c>
      <c r="T20" s="601" t="s">
        <v>620</v>
      </c>
      <c r="U20" s="601" t="s">
        <v>643</v>
      </c>
      <c r="V20" s="705" t="s">
        <v>363</v>
      </c>
      <c r="W20" s="603" t="s">
        <v>620</v>
      </c>
      <c r="X20" s="603" t="s">
        <v>643</v>
      </c>
      <c r="Y20" s="708" t="s">
        <v>363</v>
      </c>
      <c r="Z20" s="601" t="s">
        <v>620</v>
      </c>
      <c r="AA20" s="601" t="s">
        <v>643</v>
      </c>
      <c r="AB20" s="705" t="s">
        <v>363</v>
      </c>
      <c r="AC20" s="603" t="s">
        <v>620</v>
      </c>
      <c r="AD20" s="603" t="s">
        <v>643</v>
      </c>
      <c r="AE20" s="708" t="s">
        <v>363</v>
      </c>
      <c r="AF20" s="601" t="s">
        <v>620</v>
      </c>
      <c r="AG20" s="601" t="s">
        <v>643</v>
      </c>
      <c r="AH20" s="705" t="s">
        <v>363</v>
      </c>
      <c r="AI20" s="603" t="s">
        <v>620</v>
      </c>
      <c r="AJ20" s="603" t="s">
        <v>643</v>
      </c>
      <c r="AK20" s="715" t="s">
        <v>363</v>
      </c>
      <c r="AL20" s="601" t="s">
        <v>620</v>
      </c>
      <c r="AM20" s="601" t="s">
        <v>643</v>
      </c>
      <c r="AN20" s="705" t="s">
        <v>363</v>
      </c>
      <c r="AO20" s="603" t="s">
        <v>620</v>
      </c>
      <c r="AP20" s="599" t="s">
        <v>643</v>
      </c>
      <c r="AQ20" s="123" t="s">
        <v>363</v>
      </c>
      <c r="AR20" s="698" t="s">
        <v>22</v>
      </c>
      <c r="AS20" s="601" t="s">
        <v>620</v>
      </c>
      <c r="AT20" s="598" t="s">
        <v>643</v>
      </c>
      <c r="AU20" s="185" t="s">
        <v>363</v>
      </c>
      <c r="AV20" s="700" t="s">
        <v>22</v>
      </c>
      <c r="AW20" s="603" t="s">
        <v>620</v>
      </c>
      <c r="AX20" s="718" t="s">
        <v>643</v>
      </c>
      <c r="AY20" s="701" t="s">
        <v>104</v>
      </c>
      <c r="AZ20" s="406">
        <v>44291</v>
      </c>
      <c r="BA20" s="412" t="s">
        <v>192</v>
      </c>
      <c r="BB20" s="397" t="s">
        <v>22</v>
      </c>
    </row>
    <row r="21" spans="1:54" ht="39.950000000000003" customHeight="1" x14ac:dyDescent="0.25">
      <c r="A21" s="18">
        <f t="shared" si="0"/>
        <v>9</v>
      </c>
      <c r="B21" s="110">
        <f>'2DEMOGRAPHICS'!B21</f>
        <v>9</v>
      </c>
      <c r="C21" s="111" t="str">
        <f>'2DEMOGRAPHICS'!C21</f>
        <v>aaaaa11111aaaaa</v>
      </c>
      <c r="D21" s="112">
        <f>'2DEMOGRAPHICS'!D21</f>
        <v>44317</v>
      </c>
      <c r="E21" s="113">
        <f>'2DEMOGRAPHICS'!E21</f>
        <v>44319</v>
      </c>
      <c r="F21" s="122" t="s">
        <v>100</v>
      </c>
      <c r="G21" s="96" t="s">
        <v>364</v>
      </c>
      <c r="H21" s="601" t="s">
        <v>617</v>
      </c>
      <c r="I21" s="601" t="s">
        <v>644</v>
      </c>
      <c r="J21" s="705" t="s">
        <v>364</v>
      </c>
      <c r="K21" s="603" t="s">
        <v>617</v>
      </c>
      <c r="L21" s="603" t="s">
        <v>644</v>
      </c>
      <c r="M21" s="708" t="s">
        <v>364</v>
      </c>
      <c r="N21" s="601" t="s">
        <v>617</v>
      </c>
      <c r="O21" s="601" t="s">
        <v>644</v>
      </c>
      <c r="P21" s="705" t="s">
        <v>364</v>
      </c>
      <c r="Q21" s="603" t="s">
        <v>617</v>
      </c>
      <c r="R21" s="603" t="s">
        <v>644</v>
      </c>
      <c r="S21" s="708" t="s">
        <v>364</v>
      </c>
      <c r="T21" s="601" t="s">
        <v>617</v>
      </c>
      <c r="U21" s="601" t="s">
        <v>644</v>
      </c>
      <c r="V21" s="705" t="s">
        <v>364</v>
      </c>
      <c r="W21" s="603" t="s">
        <v>617</v>
      </c>
      <c r="X21" s="603" t="s">
        <v>644</v>
      </c>
      <c r="Y21" s="708" t="s">
        <v>364</v>
      </c>
      <c r="Z21" s="601" t="s">
        <v>617</v>
      </c>
      <c r="AA21" s="601" t="s">
        <v>644</v>
      </c>
      <c r="AB21" s="705" t="s">
        <v>364</v>
      </c>
      <c r="AC21" s="603" t="s">
        <v>617</v>
      </c>
      <c r="AD21" s="603" t="s">
        <v>644</v>
      </c>
      <c r="AE21" s="708" t="s">
        <v>364</v>
      </c>
      <c r="AF21" s="601" t="s">
        <v>617</v>
      </c>
      <c r="AG21" s="601" t="s">
        <v>644</v>
      </c>
      <c r="AH21" s="705" t="s">
        <v>364</v>
      </c>
      <c r="AI21" s="603" t="s">
        <v>617</v>
      </c>
      <c r="AJ21" s="603" t="s">
        <v>644</v>
      </c>
      <c r="AK21" s="715" t="s">
        <v>364</v>
      </c>
      <c r="AL21" s="601" t="s">
        <v>617</v>
      </c>
      <c r="AM21" s="601" t="s">
        <v>644</v>
      </c>
      <c r="AN21" s="705" t="s">
        <v>364</v>
      </c>
      <c r="AO21" s="603" t="s">
        <v>617</v>
      </c>
      <c r="AP21" s="599" t="s">
        <v>644</v>
      </c>
      <c r="AQ21" s="123" t="s">
        <v>364</v>
      </c>
      <c r="AR21" s="698" t="s">
        <v>22</v>
      </c>
      <c r="AS21" s="601" t="s">
        <v>617</v>
      </c>
      <c r="AT21" s="598" t="s">
        <v>644</v>
      </c>
      <c r="AU21" s="185" t="s">
        <v>364</v>
      </c>
      <c r="AV21" s="700" t="s">
        <v>22</v>
      </c>
      <c r="AW21" s="603" t="s">
        <v>617</v>
      </c>
      <c r="AX21" s="718" t="s">
        <v>644</v>
      </c>
      <c r="AY21" s="701" t="s">
        <v>100</v>
      </c>
      <c r="AZ21" s="406">
        <v>44319</v>
      </c>
      <c r="BA21" s="399" t="s">
        <v>522</v>
      </c>
      <c r="BB21" s="397" t="s">
        <v>22</v>
      </c>
    </row>
    <row r="22" spans="1:54" ht="39.950000000000003" customHeight="1" x14ac:dyDescent="0.25">
      <c r="A22" s="18">
        <f t="shared" si="0"/>
        <v>10</v>
      </c>
      <c r="B22" s="110">
        <f>'2DEMOGRAPHICS'!B22</f>
        <v>10</v>
      </c>
      <c r="C22" s="111" t="str">
        <f>'2DEMOGRAPHICS'!C22</f>
        <v>aaaaa11111aaaaa</v>
      </c>
      <c r="D22" s="112">
        <f>'2DEMOGRAPHICS'!D22</f>
        <v>44348</v>
      </c>
      <c r="E22" s="113">
        <f>'2DEMOGRAPHICS'!E22</f>
        <v>44351</v>
      </c>
      <c r="F22" s="122" t="s">
        <v>104</v>
      </c>
      <c r="G22" s="97" t="s">
        <v>362</v>
      </c>
      <c r="H22" s="601" t="s">
        <v>618</v>
      </c>
      <c r="I22" s="601" t="s">
        <v>645</v>
      </c>
      <c r="J22" s="706" t="s">
        <v>362</v>
      </c>
      <c r="K22" s="603" t="s">
        <v>618</v>
      </c>
      <c r="L22" s="603" t="s">
        <v>645</v>
      </c>
      <c r="M22" s="709" t="s">
        <v>362</v>
      </c>
      <c r="N22" s="601" t="s">
        <v>618</v>
      </c>
      <c r="O22" s="601" t="s">
        <v>645</v>
      </c>
      <c r="P22" s="706" t="s">
        <v>362</v>
      </c>
      <c r="Q22" s="603" t="s">
        <v>618</v>
      </c>
      <c r="R22" s="603" t="s">
        <v>645</v>
      </c>
      <c r="S22" s="709" t="s">
        <v>362</v>
      </c>
      <c r="T22" s="601" t="s">
        <v>618</v>
      </c>
      <c r="U22" s="601" t="s">
        <v>645</v>
      </c>
      <c r="V22" s="706" t="s">
        <v>362</v>
      </c>
      <c r="W22" s="603" t="s">
        <v>618</v>
      </c>
      <c r="X22" s="603" t="s">
        <v>645</v>
      </c>
      <c r="Y22" s="709" t="s">
        <v>362</v>
      </c>
      <c r="Z22" s="601" t="s">
        <v>618</v>
      </c>
      <c r="AA22" s="601" t="s">
        <v>645</v>
      </c>
      <c r="AB22" s="706" t="s">
        <v>362</v>
      </c>
      <c r="AC22" s="603" t="s">
        <v>618</v>
      </c>
      <c r="AD22" s="603" t="s">
        <v>645</v>
      </c>
      <c r="AE22" s="709" t="s">
        <v>362</v>
      </c>
      <c r="AF22" s="601" t="s">
        <v>618</v>
      </c>
      <c r="AG22" s="601" t="s">
        <v>645</v>
      </c>
      <c r="AH22" s="706" t="s">
        <v>362</v>
      </c>
      <c r="AI22" s="603" t="s">
        <v>618</v>
      </c>
      <c r="AJ22" s="603" t="s">
        <v>645</v>
      </c>
      <c r="AK22" s="716" t="s">
        <v>362</v>
      </c>
      <c r="AL22" s="601" t="s">
        <v>618</v>
      </c>
      <c r="AM22" s="601" t="s">
        <v>645</v>
      </c>
      <c r="AN22" s="706" t="s">
        <v>362</v>
      </c>
      <c r="AO22" s="603" t="s">
        <v>618</v>
      </c>
      <c r="AP22" s="599" t="s">
        <v>645</v>
      </c>
      <c r="AQ22" s="124" t="s">
        <v>362</v>
      </c>
      <c r="AR22" s="698" t="s">
        <v>22</v>
      </c>
      <c r="AS22" s="601" t="s">
        <v>618</v>
      </c>
      <c r="AT22" s="598" t="s">
        <v>645</v>
      </c>
      <c r="AU22" s="186" t="s">
        <v>362</v>
      </c>
      <c r="AV22" s="700" t="s">
        <v>22</v>
      </c>
      <c r="AW22" s="603" t="s">
        <v>618</v>
      </c>
      <c r="AX22" s="718" t="s">
        <v>645</v>
      </c>
      <c r="AY22" s="701" t="s">
        <v>104</v>
      </c>
      <c r="AZ22" s="406">
        <v>44351</v>
      </c>
      <c r="BA22" s="412" t="s">
        <v>520</v>
      </c>
      <c r="BB22" s="397" t="s">
        <v>22</v>
      </c>
    </row>
    <row r="23" spans="1:54" ht="39.950000000000003" customHeight="1" x14ac:dyDescent="0.25">
      <c r="A23" s="18">
        <f t="shared" si="0"/>
        <v>11</v>
      </c>
      <c r="B23" s="110">
        <f>'2DEMOGRAPHICS'!B23</f>
        <v>11</v>
      </c>
      <c r="C23" s="111" t="str">
        <f>'2DEMOGRAPHICS'!C23</f>
        <v>aaaaa11111aaaaa</v>
      </c>
      <c r="D23" s="112">
        <f>'2DEMOGRAPHICS'!D23</f>
        <v>44378</v>
      </c>
      <c r="E23" s="113">
        <f>'2DEMOGRAPHICS'!E23</f>
        <v>44379</v>
      </c>
      <c r="F23" s="122" t="s">
        <v>100</v>
      </c>
      <c r="G23" s="96" t="s">
        <v>362</v>
      </c>
      <c r="H23" s="601" t="s">
        <v>619</v>
      </c>
      <c r="I23" s="601" t="s">
        <v>641</v>
      </c>
      <c r="J23" s="705" t="s">
        <v>362</v>
      </c>
      <c r="K23" s="603" t="s">
        <v>619</v>
      </c>
      <c r="L23" s="603" t="s">
        <v>641</v>
      </c>
      <c r="M23" s="708" t="s">
        <v>362</v>
      </c>
      <c r="N23" s="601" t="s">
        <v>619</v>
      </c>
      <c r="O23" s="601" t="s">
        <v>641</v>
      </c>
      <c r="P23" s="705" t="s">
        <v>362</v>
      </c>
      <c r="Q23" s="603" t="s">
        <v>619</v>
      </c>
      <c r="R23" s="603" t="s">
        <v>641</v>
      </c>
      <c r="S23" s="708" t="s">
        <v>362</v>
      </c>
      <c r="T23" s="601" t="s">
        <v>619</v>
      </c>
      <c r="U23" s="601" t="s">
        <v>641</v>
      </c>
      <c r="V23" s="705" t="s">
        <v>362</v>
      </c>
      <c r="W23" s="603" t="s">
        <v>619</v>
      </c>
      <c r="X23" s="603" t="s">
        <v>641</v>
      </c>
      <c r="Y23" s="708" t="s">
        <v>362</v>
      </c>
      <c r="Z23" s="601" t="s">
        <v>619</v>
      </c>
      <c r="AA23" s="601" t="s">
        <v>641</v>
      </c>
      <c r="AB23" s="705" t="s">
        <v>362</v>
      </c>
      <c r="AC23" s="603" t="s">
        <v>619</v>
      </c>
      <c r="AD23" s="603" t="s">
        <v>641</v>
      </c>
      <c r="AE23" s="708" t="s">
        <v>362</v>
      </c>
      <c r="AF23" s="601" t="s">
        <v>619</v>
      </c>
      <c r="AG23" s="601" t="s">
        <v>641</v>
      </c>
      <c r="AH23" s="705" t="s">
        <v>362</v>
      </c>
      <c r="AI23" s="603" t="s">
        <v>619</v>
      </c>
      <c r="AJ23" s="603" t="s">
        <v>641</v>
      </c>
      <c r="AK23" s="715" t="s">
        <v>362</v>
      </c>
      <c r="AL23" s="601" t="s">
        <v>619</v>
      </c>
      <c r="AM23" s="601" t="s">
        <v>641</v>
      </c>
      <c r="AN23" s="705" t="s">
        <v>362</v>
      </c>
      <c r="AO23" s="603" t="s">
        <v>619</v>
      </c>
      <c r="AP23" s="599" t="s">
        <v>641</v>
      </c>
      <c r="AQ23" s="123" t="s">
        <v>362</v>
      </c>
      <c r="AR23" s="698" t="s">
        <v>22</v>
      </c>
      <c r="AS23" s="601" t="s">
        <v>619</v>
      </c>
      <c r="AT23" s="598" t="s">
        <v>641</v>
      </c>
      <c r="AU23" s="185" t="s">
        <v>362</v>
      </c>
      <c r="AV23" s="700" t="s">
        <v>22</v>
      </c>
      <c r="AW23" s="603" t="s">
        <v>619</v>
      </c>
      <c r="AX23" s="718" t="s">
        <v>641</v>
      </c>
      <c r="AY23" s="701" t="s">
        <v>100</v>
      </c>
      <c r="AZ23" s="406">
        <v>44379</v>
      </c>
      <c r="BA23" s="399" t="s">
        <v>522</v>
      </c>
      <c r="BB23" s="398"/>
    </row>
    <row r="24" spans="1:54" ht="39.950000000000003" customHeight="1" x14ac:dyDescent="0.25">
      <c r="A24" s="18">
        <f t="shared" ref="A24:A62" si="1">ROW(A12)</f>
        <v>12</v>
      </c>
      <c r="B24" s="110">
        <f>'2DEMOGRAPHICS'!B24</f>
        <v>12</v>
      </c>
      <c r="C24" s="111" t="str">
        <f>'2DEMOGRAPHICS'!C24</f>
        <v>aaaaa11111aaaaa</v>
      </c>
      <c r="D24" s="112">
        <f>'2DEMOGRAPHICS'!D24</f>
        <v>44409</v>
      </c>
      <c r="E24" s="113">
        <f>'2DEMOGRAPHICS'!E24</f>
        <v>44412</v>
      </c>
      <c r="F24" s="122" t="s">
        <v>104</v>
      </c>
      <c r="G24" s="96" t="s">
        <v>363</v>
      </c>
      <c r="H24" s="601" t="s">
        <v>620</v>
      </c>
      <c r="I24" s="601" t="s">
        <v>642</v>
      </c>
      <c r="J24" s="705" t="s">
        <v>363</v>
      </c>
      <c r="K24" s="603" t="s">
        <v>620</v>
      </c>
      <c r="L24" s="603" t="s">
        <v>642</v>
      </c>
      <c r="M24" s="708" t="s">
        <v>363</v>
      </c>
      <c r="N24" s="601" t="s">
        <v>620</v>
      </c>
      <c r="O24" s="601" t="s">
        <v>642</v>
      </c>
      <c r="P24" s="705" t="s">
        <v>363</v>
      </c>
      <c r="Q24" s="603" t="s">
        <v>620</v>
      </c>
      <c r="R24" s="603" t="s">
        <v>642</v>
      </c>
      <c r="S24" s="708" t="s">
        <v>363</v>
      </c>
      <c r="T24" s="601" t="s">
        <v>620</v>
      </c>
      <c r="U24" s="601" t="s">
        <v>642</v>
      </c>
      <c r="V24" s="705" t="s">
        <v>363</v>
      </c>
      <c r="W24" s="603" t="s">
        <v>620</v>
      </c>
      <c r="X24" s="603" t="s">
        <v>642</v>
      </c>
      <c r="Y24" s="708" t="s">
        <v>363</v>
      </c>
      <c r="Z24" s="601" t="s">
        <v>620</v>
      </c>
      <c r="AA24" s="601" t="s">
        <v>642</v>
      </c>
      <c r="AB24" s="705" t="s">
        <v>363</v>
      </c>
      <c r="AC24" s="603" t="s">
        <v>620</v>
      </c>
      <c r="AD24" s="603" t="s">
        <v>642</v>
      </c>
      <c r="AE24" s="708" t="s">
        <v>363</v>
      </c>
      <c r="AF24" s="601" t="s">
        <v>620</v>
      </c>
      <c r="AG24" s="601" t="s">
        <v>642</v>
      </c>
      <c r="AH24" s="705" t="s">
        <v>363</v>
      </c>
      <c r="AI24" s="603" t="s">
        <v>620</v>
      </c>
      <c r="AJ24" s="603" t="s">
        <v>642</v>
      </c>
      <c r="AK24" s="715" t="s">
        <v>363</v>
      </c>
      <c r="AL24" s="601" t="s">
        <v>620</v>
      </c>
      <c r="AM24" s="601" t="s">
        <v>642</v>
      </c>
      <c r="AN24" s="705" t="s">
        <v>363</v>
      </c>
      <c r="AO24" s="603" t="s">
        <v>620</v>
      </c>
      <c r="AP24" s="599" t="s">
        <v>642</v>
      </c>
      <c r="AQ24" s="123" t="s">
        <v>363</v>
      </c>
      <c r="AR24" s="698" t="s">
        <v>22</v>
      </c>
      <c r="AS24" s="601" t="s">
        <v>620</v>
      </c>
      <c r="AT24" s="598" t="s">
        <v>642</v>
      </c>
      <c r="AU24" s="185" t="s">
        <v>363</v>
      </c>
      <c r="AV24" s="700" t="s">
        <v>22</v>
      </c>
      <c r="AW24" s="603" t="s">
        <v>620</v>
      </c>
      <c r="AX24" s="718" t="s">
        <v>642</v>
      </c>
      <c r="AY24" s="701" t="s">
        <v>104</v>
      </c>
      <c r="AZ24" s="406">
        <v>44412</v>
      </c>
      <c r="BA24" s="412" t="s">
        <v>520</v>
      </c>
      <c r="BB24" s="398"/>
    </row>
    <row r="25" spans="1:54" ht="39.950000000000003" customHeight="1" x14ac:dyDescent="0.25">
      <c r="A25" s="18">
        <f t="shared" si="1"/>
        <v>13</v>
      </c>
      <c r="B25" s="110">
        <f>'2DEMOGRAPHICS'!B25</f>
        <v>13</v>
      </c>
      <c r="C25" s="111" t="str">
        <f>'2DEMOGRAPHICS'!C25</f>
        <v>aaaaa11111aaaaa</v>
      </c>
      <c r="D25" s="112">
        <f>'2DEMOGRAPHICS'!D25</f>
        <v>44075</v>
      </c>
      <c r="E25" s="113">
        <f>'2DEMOGRAPHICS'!E25</f>
        <v>44077</v>
      </c>
      <c r="F25" s="122" t="s">
        <v>100</v>
      </c>
      <c r="G25" s="96" t="s">
        <v>364</v>
      </c>
      <c r="H25" s="601" t="s">
        <v>617</v>
      </c>
      <c r="I25" s="601" t="s">
        <v>643</v>
      </c>
      <c r="J25" s="705" t="s">
        <v>364</v>
      </c>
      <c r="K25" s="603" t="s">
        <v>617</v>
      </c>
      <c r="L25" s="603" t="s">
        <v>643</v>
      </c>
      <c r="M25" s="708" t="s">
        <v>364</v>
      </c>
      <c r="N25" s="601" t="s">
        <v>617</v>
      </c>
      <c r="O25" s="601" t="s">
        <v>643</v>
      </c>
      <c r="P25" s="705" t="s">
        <v>364</v>
      </c>
      <c r="Q25" s="603" t="s">
        <v>617</v>
      </c>
      <c r="R25" s="603" t="s">
        <v>643</v>
      </c>
      <c r="S25" s="708" t="s">
        <v>364</v>
      </c>
      <c r="T25" s="601" t="s">
        <v>617</v>
      </c>
      <c r="U25" s="601" t="s">
        <v>643</v>
      </c>
      <c r="V25" s="705" t="s">
        <v>364</v>
      </c>
      <c r="W25" s="603" t="s">
        <v>617</v>
      </c>
      <c r="X25" s="603" t="s">
        <v>643</v>
      </c>
      <c r="Y25" s="708" t="s">
        <v>364</v>
      </c>
      <c r="Z25" s="601" t="s">
        <v>617</v>
      </c>
      <c r="AA25" s="601" t="s">
        <v>643</v>
      </c>
      <c r="AB25" s="705" t="s">
        <v>364</v>
      </c>
      <c r="AC25" s="603" t="s">
        <v>617</v>
      </c>
      <c r="AD25" s="603" t="s">
        <v>643</v>
      </c>
      <c r="AE25" s="708" t="s">
        <v>364</v>
      </c>
      <c r="AF25" s="601" t="s">
        <v>617</v>
      </c>
      <c r="AG25" s="601" t="s">
        <v>643</v>
      </c>
      <c r="AH25" s="705" t="s">
        <v>364</v>
      </c>
      <c r="AI25" s="603" t="s">
        <v>617</v>
      </c>
      <c r="AJ25" s="603" t="s">
        <v>643</v>
      </c>
      <c r="AK25" s="715" t="s">
        <v>364</v>
      </c>
      <c r="AL25" s="601" t="s">
        <v>617</v>
      </c>
      <c r="AM25" s="601" t="s">
        <v>643</v>
      </c>
      <c r="AN25" s="705" t="s">
        <v>364</v>
      </c>
      <c r="AO25" s="603" t="s">
        <v>617</v>
      </c>
      <c r="AP25" s="599" t="s">
        <v>643</v>
      </c>
      <c r="AQ25" s="123" t="s">
        <v>364</v>
      </c>
      <c r="AR25" s="698" t="s">
        <v>22</v>
      </c>
      <c r="AS25" s="601" t="s">
        <v>617</v>
      </c>
      <c r="AT25" s="598" t="s">
        <v>643</v>
      </c>
      <c r="AU25" s="185" t="s">
        <v>364</v>
      </c>
      <c r="AV25" s="700" t="s">
        <v>22</v>
      </c>
      <c r="AW25" s="603" t="s">
        <v>617</v>
      </c>
      <c r="AX25" s="718" t="s">
        <v>643</v>
      </c>
      <c r="AY25" s="701" t="s">
        <v>100</v>
      </c>
      <c r="AZ25" s="406">
        <v>44077</v>
      </c>
      <c r="BA25" s="412" t="s">
        <v>518</v>
      </c>
      <c r="BB25" s="398"/>
    </row>
    <row r="26" spans="1:54" ht="39.950000000000003" customHeight="1" x14ac:dyDescent="0.25">
      <c r="A26" s="18">
        <f t="shared" si="1"/>
        <v>14</v>
      </c>
      <c r="B26" s="110">
        <f>'2DEMOGRAPHICS'!B26</f>
        <v>14</v>
      </c>
      <c r="C26" s="111" t="str">
        <f>'2DEMOGRAPHICS'!C26</f>
        <v>aaaaa11111aaaaa</v>
      </c>
      <c r="D26" s="112">
        <f>'2DEMOGRAPHICS'!D26</f>
        <v>44105</v>
      </c>
      <c r="E26" s="113">
        <f>'2DEMOGRAPHICS'!E26</f>
        <v>44077</v>
      </c>
      <c r="F26" s="122" t="s">
        <v>104</v>
      </c>
      <c r="G26" s="96" t="s">
        <v>362</v>
      </c>
      <c r="H26" s="601" t="s">
        <v>618</v>
      </c>
      <c r="I26" s="601" t="s">
        <v>644</v>
      </c>
      <c r="J26" s="705" t="s">
        <v>362</v>
      </c>
      <c r="K26" s="603" t="s">
        <v>618</v>
      </c>
      <c r="L26" s="603" t="s">
        <v>644</v>
      </c>
      <c r="M26" s="708" t="s">
        <v>362</v>
      </c>
      <c r="N26" s="601" t="s">
        <v>618</v>
      </c>
      <c r="O26" s="601" t="s">
        <v>644</v>
      </c>
      <c r="P26" s="705" t="s">
        <v>362</v>
      </c>
      <c r="Q26" s="603" t="s">
        <v>618</v>
      </c>
      <c r="R26" s="603" t="s">
        <v>644</v>
      </c>
      <c r="S26" s="708" t="s">
        <v>362</v>
      </c>
      <c r="T26" s="601" t="s">
        <v>618</v>
      </c>
      <c r="U26" s="601" t="s">
        <v>644</v>
      </c>
      <c r="V26" s="705" t="s">
        <v>362</v>
      </c>
      <c r="W26" s="603" t="s">
        <v>618</v>
      </c>
      <c r="X26" s="603" t="s">
        <v>644</v>
      </c>
      <c r="Y26" s="708" t="s">
        <v>362</v>
      </c>
      <c r="Z26" s="601" t="s">
        <v>618</v>
      </c>
      <c r="AA26" s="601" t="s">
        <v>644</v>
      </c>
      <c r="AB26" s="705" t="s">
        <v>362</v>
      </c>
      <c r="AC26" s="603" t="s">
        <v>618</v>
      </c>
      <c r="AD26" s="603" t="s">
        <v>644</v>
      </c>
      <c r="AE26" s="708" t="s">
        <v>362</v>
      </c>
      <c r="AF26" s="601" t="s">
        <v>618</v>
      </c>
      <c r="AG26" s="601" t="s">
        <v>644</v>
      </c>
      <c r="AH26" s="705" t="s">
        <v>362</v>
      </c>
      <c r="AI26" s="603" t="s">
        <v>618</v>
      </c>
      <c r="AJ26" s="603" t="s">
        <v>644</v>
      </c>
      <c r="AK26" s="715" t="s">
        <v>362</v>
      </c>
      <c r="AL26" s="601" t="s">
        <v>618</v>
      </c>
      <c r="AM26" s="601" t="s">
        <v>644</v>
      </c>
      <c r="AN26" s="705" t="s">
        <v>362</v>
      </c>
      <c r="AO26" s="603" t="s">
        <v>618</v>
      </c>
      <c r="AP26" s="599" t="s">
        <v>644</v>
      </c>
      <c r="AQ26" s="123" t="s">
        <v>362</v>
      </c>
      <c r="AR26" s="698" t="s">
        <v>22</v>
      </c>
      <c r="AS26" s="601" t="s">
        <v>618</v>
      </c>
      <c r="AT26" s="598" t="s">
        <v>644</v>
      </c>
      <c r="AU26" s="185" t="s">
        <v>362</v>
      </c>
      <c r="AV26" s="700" t="s">
        <v>22</v>
      </c>
      <c r="AW26" s="603" t="s">
        <v>618</v>
      </c>
      <c r="AX26" s="718" t="s">
        <v>644</v>
      </c>
      <c r="AY26" s="701" t="s">
        <v>104</v>
      </c>
      <c r="AZ26" s="406">
        <v>44077</v>
      </c>
      <c r="BA26" s="412" t="s">
        <v>192</v>
      </c>
      <c r="BB26" s="398"/>
    </row>
    <row r="27" spans="1:54" ht="39.950000000000003" customHeight="1" x14ac:dyDescent="0.25">
      <c r="A27" s="18">
        <f t="shared" si="1"/>
        <v>15</v>
      </c>
      <c r="B27" s="110">
        <f>'2DEMOGRAPHICS'!B27</f>
        <v>15</v>
      </c>
      <c r="C27" s="111" t="str">
        <f>'2DEMOGRAPHICS'!C27</f>
        <v>aaaaa11111aaaaa</v>
      </c>
      <c r="D27" s="112">
        <f>'2DEMOGRAPHICS'!D27</f>
        <v>44136</v>
      </c>
      <c r="E27" s="113">
        <f>'2DEMOGRAPHICS'!E27</f>
        <v>44137</v>
      </c>
      <c r="F27" s="122" t="s">
        <v>100</v>
      </c>
      <c r="G27" s="96" t="s">
        <v>363</v>
      </c>
      <c r="H27" s="601" t="s">
        <v>619</v>
      </c>
      <c r="I27" s="601" t="s">
        <v>645</v>
      </c>
      <c r="J27" s="705" t="s">
        <v>363</v>
      </c>
      <c r="K27" s="603" t="s">
        <v>619</v>
      </c>
      <c r="L27" s="603" t="s">
        <v>645</v>
      </c>
      <c r="M27" s="708" t="s">
        <v>363</v>
      </c>
      <c r="N27" s="601" t="s">
        <v>619</v>
      </c>
      <c r="O27" s="601" t="s">
        <v>645</v>
      </c>
      <c r="P27" s="705" t="s">
        <v>363</v>
      </c>
      <c r="Q27" s="603" t="s">
        <v>619</v>
      </c>
      <c r="R27" s="603" t="s">
        <v>645</v>
      </c>
      <c r="S27" s="708" t="s">
        <v>363</v>
      </c>
      <c r="T27" s="601" t="s">
        <v>619</v>
      </c>
      <c r="U27" s="601" t="s">
        <v>645</v>
      </c>
      <c r="V27" s="705" t="s">
        <v>363</v>
      </c>
      <c r="W27" s="603" t="s">
        <v>619</v>
      </c>
      <c r="X27" s="603" t="s">
        <v>645</v>
      </c>
      <c r="Y27" s="708" t="s">
        <v>363</v>
      </c>
      <c r="Z27" s="601" t="s">
        <v>619</v>
      </c>
      <c r="AA27" s="601" t="s">
        <v>645</v>
      </c>
      <c r="AB27" s="705" t="s">
        <v>363</v>
      </c>
      <c r="AC27" s="603" t="s">
        <v>619</v>
      </c>
      <c r="AD27" s="603" t="s">
        <v>645</v>
      </c>
      <c r="AE27" s="708" t="s">
        <v>363</v>
      </c>
      <c r="AF27" s="601" t="s">
        <v>619</v>
      </c>
      <c r="AG27" s="601" t="s">
        <v>645</v>
      </c>
      <c r="AH27" s="705" t="s">
        <v>363</v>
      </c>
      <c r="AI27" s="603" t="s">
        <v>619</v>
      </c>
      <c r="AJ27" s="603" t="s">
        <v>645</v>
      </c>
      <c r="AK27" s="715" t="s">
        <v>363</v>
      </c>
      <c r="AL27" s="601" t="s">
        <v>619</v>
      </c>
      <c r="AM27" s="601" t="s">
        <v>645</v>
      </c>
      <c r="AN27" s="705" t="s">
        <v>363</v>
      </c>
      <c r="AO27" s="603" t="s">
        <v>619</v>
      </c>
      <c r="AP27" s="599" t="s">
        <v>645</v>
      </c>
      <c r="AQ27" s="123" t="s">
        <v>363</v>
      </c>
      <c r="AR27" s="698" t="s">
        <v>22</v>
      </c>
      <c r="AS27" s="601" t="s">
        <v>619</v>
      </c>
      <c r="AT27" s="598" t="s">
        <v>645</v>
      </c>
      <c r="AU27" s="185" t="s">
        <v>363</v>
      </c>
      <c r="AV27" s="700" t="s">
        <v>22</v>
      </c>
      <c r="AW27" s="603" t="s">
        <v>619</v>
      </c>
      <c r="AX27" s="718" t="s">
        <v>645</v>
      </c>
      <c r="AY27" s="701" t="s">
        <v>100</v>
      </c>
      <c r="AZ27" s="406">
        <v>44137</v>
      </c>
      <c r="BA27" s="399" t="s">
        <v>522</v>
      </c>
      <c r="BB27" s="398"/>
    </row>
    <row r="28" spans="1:54" ht="39.950000000000003" customHeight="1" x14ac:dyDescent="0.25">
      <c r="A28" s="18">
        <f t="shared" si="1"/>
        <v>16</v>
      </c>
      <c r="B28" s="110">
        <f>'2DEMOGRAPHICS'!B28</f>
        <v>16</v>
      </c>
      <c r="C28" s="111" t="str">
        <f>'2DEMOGRAPHICS'!C28</f>
        <v>aaaaa11111aaaaa</v>
      </c>
      <c r="D28" s="112">
        <f>'2DEMOGRAPHICS'!D28</f>
        <v>44166</v>
      </c>
      <c r="E28" s="113">
        <f>'2DEMOGRAPHICS'!E28</f>
        <v>44170</v>
      </c>
      <c r="F28" s="122" t="s">
        <v>104</v>
      </c>
      <c r="G28" s="96" t="s">
        <v>364</v>
      </c>
      <c r="H28" s="601" t="s">
        <v>620</v>
      </c>
      <c r="I28" s="601" t="s">
        <v>641</v>
      </c>
      <c r="J28" s="705" t="s">
        <v>364</v>
      </c>
      <c r="K28" s="603" t="s">
        <v>620</v>
      </c>
      <c r="L28" s="603" t="s">
        <v>641</v>
      </c>
      <c r="M28" s="708" t="s">
        <v>364</v>
      </c>
      <c r="N28" s="601" t="s">
        <v>620</v>
      </c>
      <c r="O28" s="601" t="s">
        <v>641</v>
      </c>
      <c r="P28" s="705" t="s">
        <v>364</v>
      </c>
      <c r="Q28" s="603" t="s">
        <v>620</v>
      </c>
      <c r="R28" s="603" t="s">
        <v>641</v>
      </c>
      <c r="S28" s="708" t="s">
        <v>364</v>
      </c>
      <c r="T28" s="601" t="s">
        <v>620</v>
      </c>
      <c r="U28" s="601" t="s">
        <v>641</v>
      </c>
      <c r="V28" s="705" t="s">
        <v>364</v>
      </c>
      <c r="W28" s="603" t="s">
        <v>620</v>
      </c>
      <c r="X28" s="603" t="s">
        <v>641</v>
      </c>
      <c r="Y28" s="708" t="s">
        <v>364</v>
      </c>
      <c r="Z28" s="601" t="s">
        <v>620</v>
      </c>
      <c r="AA28" s="601" t="s">
        <v>641</v>
      </c>
      <c r="AB28" s="705" t="s">
        <v>364</v>
      </c>
      <c r="AC28" s="603" t="s">
        <v>620</v>
      </c>
      <c r="AD28" s="603" t="s">
        <v>641</v>
      </c>
      <c r="AE28" s="708" t="s">
        <v>364</v>
      </c>
      <c r="AF28" s="601" t="s">
        <v>620</v>
      </c>
      <c r="AG28" s="601" t="s">
        <v>641</v>
      </c>
      <c r="AH28" s="705" t="s">
        <v>364</v>
      </c>
      <c r="AI28" s="603" t="s">
        <v>620</v>
      </c>
      <c r="AJ28" s="603" t="s">
        <v>641</v>
      </c>
      <c r="AK28" s="715" t="s">
        <v>364</v>
      </c>
      <c r="AL28" s="601" t="s">
        <v>620</v>
      </c>
      <c r="AM28" s="601" t="s">
        <v>641</v>
      </c>
      <c r="AN28" s="705" t="s">
        <v>364</v>
      </c>
      <c r="AO28" s="603" t="s">
        <v>620</v>
      </c>
      <c r="AP28" s="599" t="s">
        <v>641</v>
      </c>
      <c r="AQ28" s="123" t="s">
        <v>364</v>
      </c>
      <c r="AR28" s="698" t="s">
        <v>22</v>
      </c>
      <c r="AS28" s="601" t="s">
        <v>620</v>
      </c>
      <c r="AT28" s="598" t="s">
        <v>641</v>
      </c>
      <c r="AU28" s="185" t="s">
        <v>364</v>
      </c>
      <c r="AV28" s="700" t="s">
        <v>22</v>
      </c>
      <c r="AW28" s="603" t="s">
        <v>620</v>
      </c>
      <c r="AX28" s="718" t="s">
        <v>641</v>
      </c>
      <c r="AY28" s="701" t="s">
        <v>104</v>
      </c>
      <c r="AZ28" s="406">
        <v>44170</v>
      </c>
      <c r="BA28" s="412" t="s">
        <v>520</v>
      </c>
      <c r="BB28" s="398"/>
    </row>
    <row r="29" spans="1:54" ht="39.950000000000003" customHeight="1" x14ac:dyDescent="0.25">
      <c r="A29" s="18">
        <f t="shared" si="1"/>
        <v>17</v>
      </c>
      <c r="B29" s="110">
        <f>'2DEMOGRAPHICS'!B29</f>
        <v>17</v>
      </c>
      <c r="C29" s="111" t="str">
        <f>'2DEMOGRAPHICS'!C29</f>
        <v>aaaaa11111aaaaa</v>
      </c>
      <c r="D29" s="112">
        <f>'2DEMOGRAPHICS'!D29</f>
        <v>44197</v>
      </c>
      <c r="E29" s="113">
        <f>'2DEMOGRAPHICS'!E29</f>
        <v>44201</v>
      </c>
      <c r="F29" s="122" t="s">
        <v>100</v>
      </c>
      <c r="G29" s="96" t="s">
        <v>362</v>
      </c>
      <c r="H29" s="601" t="s">
        <v>617</v>
      </c>
      <c r="I29" s="601" t="s">
        <v>642</v>
      </c>
      <c r="J29" s="705" t="s">
        <v>362</v>
      </c>
      <c r="K29" s="603" t="s">
        <v>617</v>
      </c>
      <c r="L29" s="603" t="s">
        <v>642</v>
      </c>
      <c r="M29" s="708" t="s">
        <v>362</v>
      </c>
      <c r="N29" s="601" t="s">
        <v>617</v>
      </c>
      <c r="O29" s="601" t="s">
        <v>642</v>
      </c>
      <c r="P29" s="705" t="s">
        <v>362</v>
      </c>
      <c r="Q29" s="603" t="s">
        <v>617</v>
      </c>
      <c r="R29" s="603" t="s">
        <v>642</v>
      </c>
      <c r="S29" s="708" t="s">
        <v>362</v>
      </c>
      <c r="T29" s="601" t="s">
        <v>617</v>
      </c>
      <c r="U29" s="601" t="s">
        <v>642</v>
      </c>
      <c r="V29" s="705" t="s">
        <v>362</v>
      </c>
      <c r="W29" s="603" t="s">
        <v>617</v>
      </c>
      <c r="X29" s="603" t="s">
        <v>642</v>
      </c>
      <c r="Y29" s="708" t="s">
        <v>362</v>
      </c>
      <c r="Z29" s="601" t="s">
        <v>617</v>
      </c>
      <c r="AA29" s="601" t="s">
        <v>642</v>
      </c>
      <c r="AB29" s="705" t="s">
        <v>362</v>
      </c>
      <c r="AC29" s="603" t="s">
        <v>617</v>
      </c>
      <c r="AD29" s="603" t="s">
        <v>642</v>
      </c>
      <c r="AE29" s="708" t="s">
        <v>362</v>
      </c>
      <c r="AF29" s="601" t="s">
        <v>617</v>
      </c>
      <c r="AG29" s="601" t="s">
        <v>642</v>
      </c>
      <c r="AH29" s="705" t="s">
        <v>362</v>
      </c>
      <c r="AI29" s="603" t="s">
        <v>617</v>
      </c>
      <c r="AJ29" s="603" t="s">
        <v>642</v>
      </c>
      <c r="AK29" s="715" t="s">
        <v>362</v>
      </c>
      <c r="AL29" s="601" t="s">
        <v>617</v>
      </c>
      <c r="AM29" s="601" t="s">
        <v>642</v>
      </c>
      <c r="AN29" s="705" t="s">
        <v>362</v>
      </c>
      <c r="AO29" s="603" t="s">
        <v>617</v>
      </c>
      <c r="AP29" s="599" t="s">
        <v>642</v>
      </c>
      <c r="AQ29" s="123" t="s">
        <v>362</v>
      </c>
      <c r="AR29" s="698" t="s">
        <v>22</v>
      </c>
      <c r="AS29" s="601" t="s">
        <v>617</v>
      </c>
      <c r="AT29" s="598" t="s">
        <v>642</v>
      </c>
      <c r="AU29" s="185" t="s">
        <v>362</v>
      </c>
      <c r="AV29" s="700" t="s">
        <v>22</v>
      </c>
      <c r="AW29" s="603" t="s">
        <v>617</v>
      </c>
      <c r="AX29" s="718" t="s">
        <v>642</v>
      </c>
      <c r="AY29" s="701" t="s">
        <v>100</v>
      </c>
      <c r="AZ29" s="406">
        <v>44201</v>
      </c>
      <c r="BA29" s="412" t="s">
        <v>518</v>
      </c>
      <c r="BB29" s="398"/>
    </row>
    <row r="30" spans="1:54" ht="39.950000000000003" customHeight="1" x14ac:dyDescent="0.25">
      <c r="A30" s="18">
        <f t="shared" si="1"/>
        <v>18</v>
      </c>
      <c r="B30" s="110">
        <f>'2DEMOGRAPHICS'!B30</f>
        <v>18</v>
      </c>
      <c r="C30" s="111" t="str">
        <f>'2DEMOGRAPHICS'!C30</f>
        <v>aaaaa11111aaaaa</v>
      </c>
      <c r="D30" s="112">
        <f>'2DEMOGRAPHICS'!D30</f>
        <v>44228</v>
      </c>
      <c r="E30" s="113">
        <f>'2DEMOGRAPHICS'!E30</f>
        <v>44230</v>
      </c>
      <c r="F30" s="122" t="s">
        <v>104</v>
      </c>
      <c r="G30" s="96" t="s">
        <v>363</v>
      </c>
      <c r="H30" s="601" t="s">
        <v>618</v>
      </c>
      <c r="I30" s="601" t="s">
        <v>643</v>
      </c>
      <c r="J30" s="705" t="s">
        <v>363</v>
      </c>
      <c r="K30" s="603" t="s">
        <v>618</v>
      </c>
      <c r="L30" s="603" t="s">
        <v>643</v>
      </c>
      <c r="M30" s="708" t="s">
        <v>363</v>
      </c>
      <c r="N30" s="601" t="s">
        <v>618</v>
      </c>
      <c r="O30" s="601" t="s">
        <v>643</v>
      </c>
      <c r="P30" s="705" t="s">
        <v>363</v>
      </c>
      <c r="Q30" s="603" t="s">
        <v>618</v>
      </c>
      <c r="R30" s="603" t="s">
        <v>643</v>
      </c>
      <c r="S30" s="708" t="s">
        <v>363</v>
      </c>
      <c r="T30" s="601" t="s">
        <v>618</v>
      </c>
      <c r="U30" s="601" t="s">
        <v>643</v>
      </c>
      <c r="V30" s="705" t="s">
        <v>363</v>
      </c>
      <c r="W30" s="603" t="s">
        <v>618</v>
      </c>
      <c r="X30" s="603" t="s">
        <v>643</v>
      </c>
      <c r="Y30" s="708" t="s">
        <v>363</v>
      </c>
      <c r="Z30" s="601" t="s">
        <v>618</v>
      </c>
      <c r="AA30" s="601" t="s">
        <v>643</v>
      </c>
      <c r="AB30" s="705" t="s">
        <v>363</v>
      </c>
      <c r="AC30" s="603" t="s">
        <v>618</v>
      </c>
      <c r="AD30" s="603" t="s">
        <v>643</v>
      </c>
      <c r="AE30" s="708" t="s">
        <v>363</v>
      </c>
      <c r="AF30" s="601" t="s">
        <v>618</v>
      </c>
      <c r="AG30" s="601" t="s">
        <v>643</v>
      </c>
      <c r="AH30" s="705" t="s">
        <v>363</v>
      </c>
      <c r="AI30" s="603" t="s">
        <v>618</v>
      </c>
      <c r="AJ30" s="603" t="s">
        <v>643</v>
      </c>
      <c r="AK30" s="715" t="s">
        <v>363</v>
      </c>
      <c r="AL30" s="601" t="s">
        <v>618</v>
      </c>
      <c r="AM30" s="601" t="s">
        <v>643</v>
      </c>
      <c r="AN30" s="705" t="s">
        <v>363</v>
      </c>
      <c r="AO30" s="603" t="s">
        <v>618</v>
      </c>
      <c r="AP30" s="599" t="s">
        <v>643</v>
      </c>
      <c r="AQ30" s="123" t="s">
        <v>363</v>
      </c>
      <c r="AR30" s="698" t="s">
        <v>22</v>
      </c>
      <c r="AS30" s="601" t="s">
        <v>618</v>
      </c>
      <c r="AT30" s="598" t="s">
        <v>643</v>
      </c>
      <c r="AU30" s="185" t="s">
        <v>363</v>
      </c>
      <c r="AV30" s="700" t="s">
        <v>22</v>
      </c>
      <c r="AW30" s="603" t="s">
        <v>618</v>
      </c>
      <c r="AX30" s="718" t="s">
        <v>643</v>
      </c>
      <c r="AY30" s="701" t="s">
        <v>104</v>
      </c>
      <c r="AZ30" s="406">
        <v>44230</v>
      </c>
      <c r="BA30" s="412" t="s">
        <v>192</v>
      </c>
      <c r="BB30" s="398"/>
    </row>
    <row r="31" spans="1:54" ht="39.950000000000003" customHeight="1" x14ac:dyDescent="0.25">
      <c r="A31" s="18">
        <f t="shared" si="1"/>
        <v>19</v>
      </c>
      <c r="B31" s="110">
        <f>'2DEMOGRAPHICS'!B31</f>
        <v>19</v>
      </c>
      <c r="C31" s="111" t="str">
        <f>'2DEMOGRAPHICS'!C31</f>
        <v>aaaaa11111aaaaa</v>
      </c>
      <c r="D31" s="112">
        <f>'2DEMOGRAPHICS'!D31</f>
        <v>44256</v>
      </c>
      <c r="E31" s="113">
        <f>'2DEMOGRAPHICS'!E31</f>
        <v>44259</v>
      </c>
      <c r="F31" s="122" t="s">
        <v>100</v>
      </c>
      <c r="G31" s="96" t="s">
        <v>364</v>
      </c>
      <c r="H31" s="601" t="s">
        <v>619</v>
      </c>
      <c r="I31" s="601" t="s">
        <v>644</v>
      </c>
      <c r="J31" s="705" t="s">
        <v>364</v>
      </c>
      <c r="K31" s="603" t="s">
        <v>619</v>
      </c>
      <c r="L31" s="603" t="s">
        <v>644</v>
      </c>
      <c r="M31" s="708" t="s">
        <v>364</v>
      </c>
      <c r="N31" s="601" t="s">
        <v>619</v>
      </c>
      <c r="O31" s="601" t="s">
        <v>644</v>
      </c>
      <c r="P31" s="705" t="s">
        <v>364</v>
      </c>
      <c r="Q31" s="603" t="s">
        <v>619</v>
      </c>
      <c r="R31" s="603" t="s">
        <v>644</v>
      </c>
      <c r="S31" s="708" t="s">
        <v>364</v>
      </c>
      <c r="T31" s="601" t="s">
        <v>619</v>
      </c>
      <c r="U31" s="601" t="s">
        <v>644</v>
      </c>
      <c r="V31" s="705" t="s">
        <v>364</v>
      </c>
      <c r="W31" s="603" t="s">
        <v>619</v>
      </c>
      <c r="X31" s="603" t="s">
        <v>644</v>
      </c>
      <c r="Y31" s="708" t="s">
        <v>364</v>
      </c>
      <c r="Z31" s="601" t="s">
        <v>619</v>
      </c>
      <c r="AA31" s="601" t="s">
        <v>644</v>
      </c>
      <c r="AB31" s="705" t="s">
        <v>364</v>
      </c>
      <c r="AC31" s="603" t="s">
        <v>619</v>
      </c>
      <c r="AD31" s="603" t="s">
        <v>644</v>
      </c>
      <c r="AE31" s="708" t="s">
        <v>364</v>
      </c>
      <c r="AF31" s="601" t="s">
        <v>619</v>
      </c>
      <c r="AG31" s="601" t="s">
        <v>644</v>
      </c>
      <c r="AH31" s="705" t="s">
        <v>364</v>
      </c>
      <c r="AI31" s="603" t="s">
        <v>619</v>
      </c>
      <c r="AJ31" s="603" t="s">
        <v>644</v>
      </c>
      <c r="AK31" s="715" t="s">
        <v>364</v>
      </c>
      <c r="AL31" s="601" t="s">
        <v>619</v>
      </c>
      <c r="AM31" s="601" t="s">
        <v>644</v>
      </c>
      <c r="AN31" s="705" t="s">
        <v>364</v>
      </c>
      <c r="AO31" s="603" t="s">
        <v>619</v>
      </c>
      <c r="AP31" s="599" t="s">
        <v>644</v>
      </c>
      <c r="AQ31" s="123" t="s">
        <v>364</v>
      </c>
      <c r="AR31" s="698" t="s">
        <v>22</v>
      </c>
      <c r="AS31" s="601" t="s">
        <v>619</v>
      </c>
      <c r="AT31" s="598" t="s">
        <v>644</v>
      </c>
      <c r="AU31" s="185" t="s">
        <v>364</v>
      </c>
      <c r="AV31" s="700" t="s">
        <v>22</v>
      </c>
      <c r="AW31" s="603" t="s">
        <v>619</v>
      </c>
      <c r="AX31" s="718" t="s">
        <v>644</v>
      </c>
      <c r="AY31" s="701" t="s">
        <v>100</v>
      </c>
      <c r="AZ31" s="406">
        <v>44259</v>
      </c>
      <c r="BA31" s="399" t="s">
        <v>522</v>
      </c>
      <c r="BB31" s="398"/>
    </row>
    <row r="32" spans="1:54" ht="39.950000000000003" customHeight="1" x14ac:dyDescent="0.25">
      <c r="A32" s="18">
        <f t="shared" si="1"/>
        <v>20</v>
      </c>
      <c r="B32" s="110">
        <f>'2DEMOGRAPHICS'!B32</f>
        <v>20</v>
      </c>
      <c r="C32" s="111" t="str">
        <f>'2DEMOGRAPHICS'!C32</f>
        <v>aaaaa11111aaaaa</v>
      </c>
      <c r="D32" s="112">
        <f>'2DEMOGRAPHICS'!D32</f>
        <v>44287</v>
      </c>
      <c r="E32" s="113">
        <f>'2DEMOGRAPHICS'!E32</f>
        <v>44291</v>
      </c>
      <c r="F32" s="122" t="s">
        <v>104</v>
      </c>
      <c r="G32" s="97" t="s">
        <v>362</v>
      </c>
      <c r="H32" s="601" t="s">
        <v>620</v>
      </c>
      <c r="I32" s="601" t="s">
        <v>645</v>
      </c>
      <c r="J32" s="706" t="s">
        <v>362</v>
      </c>
      <c r="K32" s="603" t="s">
        <v>620</v>
      </c>
      <c r="L32" s="603" t="s">
        <v>645</v>
      </c>
      <c r="M32" s="709" t="s">
        <v>362</v>
      </c>
      <c r="N32" s="601" t="s">
        <v>620</v>
      </c>
      <c r="O32" s="601" t="s">
        <v>645</v>
      </c>
      <c r="P32" s="706" t="s">
        <v>362</v>
      </c>
      <c r="Q32" s="603" t="s">
        <v>620</v>
      </c>
      <c r="R32" s="603" t="s">
        <v>645</v>
      </c>
      <c r="S32" s="709" t="s">
        <v>362</v>
      </c>
      <c r="T32" s="601" t="s">
        <v>620</v>
      </c>
      <c r="U32" s="601" t="s">
        <v>645</v>
      </c>
      <c r="V32" s="706" t="s">
        <v>362</v>
      </c>
      <c r="W32" s="603" t="s">
        <v>620</v>
      </c>
      <c r="X32" s="603" t="s">
        <v>645</v>
      </c>
      <c r="Y32" s="709" t="s">
        <v>362</v>
      </c>
      <c r="Z32" s="601" t="s">
        <v>620</v>
      </c>
      <c r="AA32" s="601" t="s">
        <v>645</v>
      </c>
      <c r="AB32" s="706" t="s">
        <v>362</v>
      </c>
      <c r="AC32" s="603" t="s">
        <v>620</v>
      </c>
      <c r="AD32" s="603" t="s">
        <v>645</v>
      </c>
      <c r="AE32" s="709" t="s">
        <v>362</v>
      </c>
      <c r="AF32" s="601" t="s">
        <v>620</v>
      </c>
      <c r="AG32" s="601" t="s">
        <v>645</v>
      </c>
      <c r="AH32" s="706" t="s">
        <v>362</v>
      </c>
      <c r="AI32" s="603" t="s">
        <v>620</v>
      </c>
      <c r="AJ32" s="603" t="s">
        <v>645</v>
      </c>
      <c r="AK32" s="716" t="s">
        <v>362</v>
      </c>
      <c r="AL32" s="601" t="s">
        <v>620</v>
      </c>
      <c r="AM32" s="601" t="s">
        <v>645</v>
      </c>
      <c r="AN32" s="706" t="s">
        <v>362</v>
      </c>
      <c r="AO32" s="603" t="s">
        <v>620</v>
      </c>
      <c r="AP32" s="599" t="s">
        <v>645</v>
      </c>
      <c r="AQ32" s="124" t="s">
        <v>362</v>
      </c>
      <c r="AR32" s="698" t="s">
        <v>22</v>
      </c>
      <c r="AS32" s="601" t="s">
        <v>620</v>
      </c>
      <c r="AT32" s="598" t="s">
        <v>645</v>
      </c>
      <c r="AU32" s="186" t="s">
        <v>362</v>
      </c>
      <c r="AV32" s="700" t="s">
        <v>22</v>
      </c>
      <c r="AW32" s="603" t="s">
        <v>620</v>
      </c>
      <c r="AX32" s="718" t="s">
        <v>645</v>
      </c>
      <c r="AY32" s="701" t="s">
        <v>104</v>
      </c>
      <c r="AZ32" s="406">
        <v>44291</v>
      </c>
      <c r="BA32" s="412" t="s">
        <v>520</v>
      </c>
      <c r="BB32" s="398"/>
    </row>
    <row r="33" spans="1:54" ht="39.950000000000003" customHeight="1" x14ac:dyDescent="0.25">
      <c r="A33" s="18">
        <f t="shared" si="1"/>
        <v>21</v>
      </c>
      <c r="B33" s="110">
        <f>'2DEMOGRAPHICS'!B33</f>
        <v>21</v>
      </c>
      <c r="C33" s="111" t="str">
        <f>'2DEMOGRAPHICS'!C33</f>
        <v>aaaaa11111aaaaa</v>
      </c>
      <c r="D33" s="112">
        <f>'2DEMOGRAPHICS'!D33</f>
        <v>44317</v>
      </c>
      <c r="E33" s="113">
        <f>'2DEMOGRAPHICS'!E33</f>
        <v>44319</v>
      </c>
      <c r="F33" s="122" t="s">
        <v>100</v>
      </c>
      <c r="G33" s="96" t="s">
        <v>362</v>
      </c>
      <c r="H33" s="601" t="s">
        <v>617</v>
      </c>
      <c r="I33" s="601" t="s">
        <v>641</v>
      </c>
      <c r="J33" s="705" t="s">
        <v>362</v>
      </c>
      <c r="K33" s="603" t="s">
        <v>617</v>
      </c>
      <c r="L33" s="603" t="s">
        <v>641</v>
      </c>
      <c r="M33" s="708" t="s">
        <v>362</v>
      </c>
      <c r="N33" s="601" t="s">
        <v>617</v>
      </c>
      <c r="O33" s="601" t="s">
        <v>641</v>
      </c>
      <c r="P33" s="705" t="s">
        <v>362</v>
      </c>
      <c r="Q33" s="603" t="s">
        <v>617</v>
      </c>
      <c r="R33" s="603" t="s">
        <v>641</v>
      </c>
      <c r="S33" s="708" t="s">
        <v>362</v>
      </c>
      <c r="T33" s="601" t="s">
        <v>617</v>
      </c>
      <c r="U33" s="601" t="s">
        <v>641</v>
      </c>
      <c r="V33" s="705" t="s">
        <v>362</v>
      </c>
      <c r="W33" s="603" t="s">
        <v>617</v>
      </c>
      <c r="X33" s="603" t="s">
        <v>641</v>
      </c>
      <c r="Y33" s="708" t="s">
        <v>362</v>
      </c>
      <c r="Z33" s="601" t="s">
        <v>617</v>
      </c>
      <c r="AA33" s="601" t="s">
        <v>641</v>
      </c>
      <c r="AB33" s="705" t="s">
        <v>362</v>
      </c>
      <c r="AC33" s="603" t="s">
        <v>617</v>
      </c>
      <c r="AD33" s="603" t="s">
        <v>641</v>
      </c>
      <c r="AE33" s="708" t="s">
        <v>362</v>
      </c>
      <c r="AF33" s="601" t="s">
        <v>617</v>
      </c>
      <c r="AG33" s="601" t="s">
        <v>641</v>
      </c>
      <c r="AH33" s="705" t="s">
        <v>362</v>
      </c>
      <c r="AI33" s="603" t="s">
        <v>617</v>
      </c>
      <c r="AJ33" s="603" t="s">
        <v>641</v>
      </c>
      <c r="AK33" s="715" t="s">
        <v>362</v>
      </c>
      <c r="AL33" s="601" t="s">
        <v>617</v>
      </c>
      <c r="AM33" s="601" t="s">
        <v>641</v>
      </c>
      <c r="AN33" s="705" t="s">
        <v>362</v>
      </c>
      <c r="AO33" s="603" t="s">
        <v>617</v>
      </c>
      <c r="AP33" s="599" t="s">
        <v>641</v>
      </c>
      <c r="AQ33" s="123" t="s">
        <v>362</v>
      </c>
      <c r="AR33" s="698" t="s">
        <v>22</v>
      </c>
      <c r="AS33" s="601" t="s">
        <v>617</v>
      </c>
      <c r="AT33" s="598" t="s">
        <v>641</v>
      </c>
      <c r="AU33" s="185" t="s">
        <v>362</v>
      </c>
      <c r="AV33" s="700" t="s">
        <v>22</v>
      </c>
      <c r="AW33" s="603" t="s">
        <v>617</v>
      </c>
      <c r="AX33" s="718" t="s">
        <v>641</v>
      </c>
      <c r="AY33" s="701" t="s">
        <v>100</v>
      </c>
      <c r="AZ33" s="406">
        <v>44319</v>
      </c>
      <c r="BA33" s="399" t="s">
        <v>522</v>
      </c>
      <c r="BB33" s="398"/>
    </row>
    <row r="34" spans="1:54" ht="39.950000000000003" customHeight="1" x14ac:dyDescent="0.25">
      <c r="A34" s="18">
        <f t="shared" si="1"/>
        <v>22</v>
      </c>
      <c r="B34" s="110">
        <f>'2DEMOGRAPHICS'!B34</f>
        <v>22</v>
      </c>
      <c r="C34" s="111" t="str">
        <f>'2DEMOGRAPHICS'!C34</f>
        <v>aaaaa11111aaaaa</v>
      </c>
      <c r="D34" s="112">
        <f>'2DEMOGRAPHICS'!D34</f>
        <v>44348</v>
      </c>
      <c r="E34" s="113">
        <f>'2DEMOGRAPHICS'!E34</f>
        <v>44351</v>
      </c>
      <c r="F34" s="122" t="s">
        <v>104</v>
      </c>
      <c r="G34" s="96" t="s">
        <v>363</v>
      </c>
      <c r="H34" s="601" t="s">
        <v>618</v>
      </c>
      <c r="I34" s="601" t="s">
        <v>642</v>
      </c>
      <c r="J34" s="705" t="s">
        <v>363</v>
      </c>
      <c r="K34" s="603" t="s">
        <v>618</v>
      </c>
      <c r="L34" s="603" t="s">
        <v>642</v>
      </c>
      <c r="M34" s="708" t="s">
        <v>363</v>
      </c>
      <c r="N34" s="601" t="s">
        <v>618</v>
      </c>
      <c r="O34" s="601" t="s">
        <v>642</v>
      </c>
      <c r="P34" s="705" t="s">
        <v>363</v>
      </c>
      <c r="Q34" s="603" t="s">
        <v>618</v>
      </c>
      <c r="R34" s="603" t="s">
        <v>642</v>
      </c>
      <c r="S34" s="708" t="s">
        <v>363</v>
      </c>
      <c r="T34" s="601" t="s">
        <v>618</v>
      </c>
      <c r="U34" s="601" t="s">
        <v>642</v>
      </c>
      <c r="V34" s="705" t="s">
        <v>363</v>
      </c>
      <c r="W34" s="603" t="s">
        <v>618</v>
      </c>
      <c r="X34" s="603" t="s">
        <v>642</v>
      </c>
      <c r="Y34" s="708" t="s">
        <v>363</v>
      </c>
      <c r="Z34" s="601" t="s">
        <v>618</v>
      </c>
      <c r="AA34" s="601" t="s">
        <v>642</v>
      </c>
      <c r="AB34" s="705" t="s">
        <v>363</v>
      </c>
      <c r="AC34" s="603" t="s">
        <v>618</v>
      </c>
      <c r="AD34" s="603" t="s">
        <v>642</v>
      </c>
      <c r="AE34" s="708" t="s">
        <v>363</v>
      </c>
      <c r="AF34" s="601" t="s">
        <v>618</v>
      </c>
      <c r="AG34" s="601" t="s">
        <v>642</v>
      </c>
      <c r="AH34" s="705" t="s">
        <v>363</v>
      </c>
      <c r="AI34" s="603" t="s">
        <v>618</v>
      </c>
      <c r="AJ34" s="603" t="s">
        <v>642</v>
      </c>
      <c r="AK34" s="715" t="s">
        <v>363</v>
      </c>
      <c r="AL34" s="601" t="s">
        <v>618</v>
      </c>
      <c r="AM34" s="601" t="s">
        <v>642</v>
      </c>
      <c r="AN34" s="705" t="s">
        <v>363</v>
      </c>
      <c r="AO34" s="603" t="s">
        <v>618</v>
      </c>
      <c r="AP34" s="599" t="s">
        <v>642</v>
      </c>
      <c r="AQ34" s="123" t="s">
        <v>363</v>
      </c>
      <c r="AR34" s="698" t="s">
        <v>22</v>
      </c>
      <c r="AS34" s="601" t="s">
        <v>618</v>
      </c>
      <c r="AT34" s="598" t="s">
        <v>642</v>
      </c>
      <c r="AU34" s="185" t="s">
        <v>363</v>
      </c>
      <c r="AV34" s="700" t="s">
        <v>22</v>
      </c>
      <c r="AW34" s="603" t="s">
        <v>618</v>
      </c>
      <c r="AX34" s="718" t="s">
        <v>642</v>
      </c>
      <c r="AY34" s="701" t="s">
        <v>104</v>
      </c>
      <c r="AZ34" s="406">
        <v>44351</v>
      </c>
      <c r="BA34" s="412" t="s">
        <v>520</v>
      </c>
      <c r="BB34" s="398"/>
    </row>
    <row r="35" spans="1:54" ht="39.950000000000003" customHeight="1" x14ac:dyDescent="0.25">
      <c r="A35" s="18">
        <f t="shared" si="1"/>
        <v>23</v>
      </c>
      <c r="B35" s="110">
        <f>'2DEMOGRAPHICS'!B35</f>
        <v>23</v>
      </c>
      <c r="C35" s="111" t="str">
        <f>'2DEMOGRAPHICS'!C35</f>
        <v>aaaaa11111aaaaa</v>
      </c>
      <c r="D35" s="112">
        <f>'2DEMOGRAPHICS'!D35</f>
        <v>44378</v>
      </c>
      <c r="E35" s="113">
        <f>'2DEMOGRAPHICS'!E35</f>
        <v>44379</v>
      </c>
      <c r="F35" s="122" t="s">
        <v>100</v>
      </c>
      <c r="G35" s="96" t="s">
        <v>364</v>
      </c>
      <c r="H35" s="601" t="s">
        <v>619</v>
      </c>
      <c r="I35" s="601" t="s">
        <v>643</v>
      </c>
      <c r="J35" s="705" t="s">
        <v>364</v>
      </c>
      <c r="K35" s="603" t="s">
        <v>619</v>
      </c>
      <c r="L35" s="603" t="s">
        <v>643</v>
      </c>
      <c r="M35" s="708" t="s">
        <v>364</v>
      </c>
      <c r="N35" s="601" t="s">
        <v>619</v>
      </c>
      <c r="O35" s="601" t="s">
        <v>643</v>
      </c>
      <c r="P35" s="705" t="s">
        <v>364</v>
      </c>
      <c r="Q35" s="603" t="s">
        <v>619</v>
      </c>
      <c r="R35" s="603" t="s">
        <v>643</v>
      </c>
      <c r="S35" s="708" t="s">
        <v>364</v>
      </c>
      <c r="T35" s="601" t="s">
        <v>619</v>
      </c>
      <c r="U35" s="601" t="s">
        <v>643</v>
      </c>
      <c r="V35" s="705" t="s">
        <v>364</v>
      </c>
      <c r="W35" s="603" t="s">
        <v>619</v>
      </c>
      <c r="X35" s="603" t="s">
        <v>643</v>
      </c>
      <c r="Y35" s="708" t="s">
        <v>364</v>
      </c>
      <c r="Z35" s="601" t="s">
        <v>619</v>
      </c>
      <c r="AA35" s="601" t="s">
        <v>643</v>
      </c>
      <c r="AB35" s="705" t="s">
        <v>364</v>
      </c>
      <c r="AC35" s="603" t="s">
        <v>619</v>
      </c>
      <c r="AD35" s="603" t="s">
        <v>643</v>
      </c>
      <c r="AE35" s="708" t="s">
        <v>364</v>
      </c>
      <c r="AF35" s="601" t="s">
        <v>619</v>
      </c>
      <c r="AG35" s="601" t="s">
        <v>643</v>
      </c>
      <c r="AH35" s="705" t="s">
        <v>364</v>
      </c>
      <c r="AI35" s="603" t="s">
        <v>619</v>
      </c>
      <c r="AJ35" s="603" t="s">
        <v>643</v>
      </c>
      <c r="AK35" s="715" t="s">
        <v>364</v>
      </c>
      <c r="AL35" s="601" t="s">
        <v>619</v>
      </c>
      <c r="AM35" s="601" t="s">
        <v>643</v>
      </c>
      <c r="AN35" s="705" t="s">
        <v>364</v>
      </c>
      <c r="AO35" s="603" t="s">
        <v>619</v>
      </c>
      <c r="AP35" s="599" t="s">
        <v>643</v>
      </c>
      <c r="AQ35" s="123" t="s">
        <v>364</v>
      </c>
      <c r="AR35" s="698" t="s">
        <v>22</v>
      </c>
      <c r="AS35" s="601" t="s">
        <v>619</v>
      </c>
      <c r="AT35" s="598" t="s">
        <v>643</v>
      </c>
      <c r="AU35" s="185" t="s">
        <v>364</v>
      </c>
      <c r="AV35" s="700" t="s">
        <v>22</v>
      </c>
      <c r="AW35" s="603" t="s">
        <v>619</v>
      </c>
      <c r="AX35" s="718" t="s">
        <v>643</v>
      </c>
      <c r="AY35" s="701" t="s">
        <v>100</v>
      </c>
      <c r="AZ35" s="406">
        <v>44379</v>
      </c>
      <c r="BA35" s="412" t="s">
        <v>518</v>
      </c>
      <c r="BB35" s="398"/>
    </row>
    <row r="36" spans="1:54" ht="39.950000000000003" customHeight="1" x14ac:dyDescent="0.25">
      <c r="A36" s="18">
        <f t="shared" si="1"/>
        <v>24</v>
      </c>
      <c r="B36" s="110">
        <f>'2DEMOGRAPHICS'!B36</f>
        <v>24</v>
      </c>
      <c r="C36" s="111" t="str">
        <f>'2DEMOGRAPHICS'!C36</f>
        <v>aaaaa11111aaaaa</v>
      </c>
      <c r="D36" s="112">
        <f>'2DEMOGRAPHICS'!D36</f>
        <v>44409</v>
      </c>
      <c r="E36" s="113">
        <f>'2DEMOGRAPHICS'!E36</f>
        <v>44412</v>
      </c>
      <c r="F36" s="122" t="s">
        <v>104</v>
      </c>
      <c r="G36" s="96" t="s">
        <v>362</v>
      </c>
      <c r="H36" s="601" t="s">
        <v>620</v>
      </c>
      <c r="I36" s="601" t="s">
        <v>644</v>
      </c>
      <c r="J36" s="705" t="s">
        <v>362</v>
      </c>
      <c r="K36" s="603" t="s">
        <v>620</v>
      </c>
      <c r="L36" s="603" t="s">
        <v>644</v>
      </c>
      <c r="M36" s="708" t="s">
        <v>362</v>
      </c>
      <c r="N36" s="601" t="s">
        <v>620</v>
      </c>
      <c r="O36" s="601" t="s">
        <v>644</v>
      </c>
      <c r="P36" s="705" t="s">
        <v>362</v>
      </c>
      <c r="Q36" s="603" t="s">
        <v>620</v>
      </c>
      <c r="R36" s="603" t="s">
        <v>644</v>
      </c>
      <c r="S36" s="708" t="s">
        <v>362</v>
      </c>
      <c r="T36" s="601" t="s">
        <v>620</v>
      </c>
      <c r="U36" s="601" t="s">
        <v>644</v>
      </c>
      <c r="V36" s="705" t="s">
        <v>362</v>
      </c>
      <c r="W36" s="603" t="s">
        <v>620</v>
      </c>
      <c r="X36" s="603" t="s">
        <v>644</v>
      </c>
      <c r="Y36" s="708" t="s">
        <v>362</v>
      </c>
      <c r="Z36" s="601" t="s">
        <v>620</v>
      </c>
      <c r="AA36" s="601" t="s">
        <v>644</v>
      </c>
      <c r="AB36" s="705" t="s">
        <v>362</v>
      </c>
      <c r="AC36" s="603" t="s">
        <v>620</v>
      </c>
      <c r="AD36" s="603" t="s">
        <v>644</v>
      </c>
      <c r="AE36" s="708" t="s">
        <v>362</v>
      </c>
      <c r="AF36" s="601" t="s">
        <v>620</v>
      </c>
      <c r="AG36" s="601" t="s">
        <v>644</v>
      </c>
      <c r="AH36" s="705" t="s">
        <v>362</v>
      </c>
      <c r="AI36" s="603" t="s">
        <v>620</v>
      </c>
      <c r="AJ36" s="603" t="s">
        <v>644</v>
      </c>
      <c r="AK36" s="715" t="s">
        <v>362</v>
      </c>
      <c r="AL36" s="601" t="s">
        <v>620</v>
      </c>
      <c r="AM36" s="601" t="s">
        <v>644</v>
      </c>
      <c r="AN36" s="705" t="s">
        <v>362</v>
      </c>
      <c r="AO36" s="603" t="s">
        <v>620</v>
      </c>
      <c r="AP36" s="599" t="s">
        <v>644</v>
      </c>
      <c r="AQ36" s="123" t="s">
        <v>362</v>
      </c>
      <c r="AR36" s="698" t="s">
        <v>22</v>
      </c>
      <c r="AS36" s="601" t="s">
        <v>620</v>
      </c>
      <c r="AT36" s="598" t="s">
        <v>644</v>
      </c>
      <c r="AU36" s="185" t="s">
        <v>362</v>
      </c>
      <c r="AV36" s="700" t="s">
        <v>22</v>
      </c>
      <c r="AW36" s="603" t="s">
        <v>620</v>
      </c>
      <c r="AX36" s="718" t="s">
        <v>644</v>
      </c>
      <c r="AY36" s="701" t="s">
        <v>104</v>
      </c>
      <c r="AZ36" s="406">
        <v>44412</v>
      </c>
      <c r="BA36" s="412" t="s">
        <v>192</v>
      </c>
      <c r="BB36" s="398"/>
    </row>
    <row r="37" spans="1:54" ht="39.950000000000003" customHeight="1" x14ac:dyDescent="0.25">
      <c r="A37" s="18">
        <f t="shared" si="1"/>
        <v>25</v>
      </c>
      <c r="B37" s="110">
        <f>'2DEMOGRAPHICS'!B37</f>
        <v>25</v>
      </c>
      <c r="C37" s="111" t="str">
        <f>'2DEMOGRAPHICS'!C37</f>
        <v>aaaaa11111aaaaa</v>
      </c>
      <c r="D37" s="112">
        <f>'2DEMOGRAPHICS'!D37</f>
        <v>44075</v>
      </c>
      <c r="E37" s="113">
        <f>'2DEMOGRAPHICS'!E37</f>
        <v>44077</v>
      </c>
      <c r="F37" s="122" t="s">
        <v>100</v>
      </c>
      <c r="G37" s="96" t="s">
        <v>363</v>
      </c>
      <c r="H37" s="601" t="s">
        <v>617</v>
      </c>
      <c r="I37" s="601" t="s">
        <v>645</v>
      </c>
      <c r="J37" s="705" t="s">
        <v>363</v>
      </c>
      <c r="K37" s="603" t="s">
        <v>617</v>
      </c>
      <c r="L37" s="603" t="s">
        <v>645</v>
      </c>
      <c r="M37" s="708" t="s">
        <v>363</v>
      </c>
      <c r="N37" s="601" t="s">
        <v>617</v>
      </c>
      <c r="O37" s="601" t="s">
        <v>645</v>
      </c>
      <c r="P37" s="705" t="s">
        <v>363</v>
      </c>
      <c r="Q37" s="603" t="s">
        <v>617</v>
      </c>
      <c r="R37" s="603" t="s">
        <v>645</v>
      </c>
      <c r="S37" s="708" t="s">
        <v>363</v>
      </c>
      <c r="T37" s="601" t="s">
        <v>617</v>
      </c>
      <c r="U37" s="601" t="s">
        <v>645</v>
      </c>
      <c r="V37" s="705" t="s">
        <v>363</v>
      </c>
      <c r="W37" s="603" t="s">
        <v>617</v>
      </c>
      <c r="X37" s="603" t="s">
        <v>645</v>
      </c>
      <c r="Y37" s="708" t="s">
        <v>363</v>
      </c>
      <c r="Z37" s="601" t="s">
        <v>617</v>
      </c>
      <c r="AA37" s="601" t="s">
        <v>645</v>
      </c>
      <c r="AB37" s="705" t="s">
        <v>363</v>
      </c>
      <c r="AC37" s="603" t="s">
        <v>617</v>
      </c>
      <c r="AD37" s="603" t="s">
        <v>645</v>
      </c>
      <c r="AE37" s="708" t="s">
        <v>363</v>
      </c>
      <c r="AF37" s="601" t="s">
        <v>617</v>
      </c>
      <c r="AG37" s="601" t="s">
        <v>645</v>
      </c>
      <c r="AH37" s="705" t="s">
        <v>363</v>
      </c>
      <c r="AI37" s="603" t="s">
        <v>617</v>
      </c>
      <c r="AJ37" s="603" t="s">
        <v>645</v>
      </c>
      <c r="AK37" s="715" t="s">
        <v>363</v>
      </c>
      <c r="AL37" s="601" t="s">
        <v>617</v>
      </c>
      <c r="AM37" s="601" t="s">
        <v>645</v>
      </c>
      <c r="AN37" s="705" t="s">
        <v>363</v>
      </c>
      <c r="AO37" s="603" t="s">
        <v>617</v>
      </c>
      <c r="AP37" s="599" t="s">
        <v>645</v>
      </c>
      <c r="AQ37" s="123" t="s">
        <v>363</v>
      </c>
      <c r="AR37" s="698" t="s">
        <v>22</v>
      </c>
      <c r="AS37" s="601" t="s">
        <v>617</v>
      </c>
      <c r="AT37" s="598" t="s">
        <v>645</v>
      </c>
      <c r="AU37" s="185" t="s">
        <v>363</v>
      </c>
      <c r="AV37" s="700" t="s">
        <v>22</v>
      </c>
      <c r="AW37" s="603" t="s">
        <v>617</v>
      </c>
      <c r="AX37" s="718" t="s">
        <v>645</v>
      </c>
      <c r="AY37" s="701" t="s">
        <v>100</v>
      </c>
      <c r="AZ37" s="406">
        <v>44077</v>
      </c>
      <c r="BA37" s="399" t="s">
        <v>522</v>
      </c>
      <c r="BB37" s="398"/>
    </row>
    <row r="38" spans="1:54" ht="39.950000000000003" customHeight="1" x14ac:dyDescent="0.25">
      <c r="A38" s="18">
        <f t="shared" si="1"/>
        <v>26</v>
      </c>
      <c r="B38" s="110">
        <f>'2DEMOGRAPHICS'!B38</f>
        <v>26</v>
      </c>
      <c r="C38" s="111" t="str">
        <f>'2DEMOGRAPHICS'!C38</f>
        <v>aaaaa11111aaaaa</v>
      </c>
      <c r="D38" s="112">
        <f>'2DEMOGRAPHICS'!D38</f>
        <v>44105</v>
      </c>
      <c r="E38" s="113">
        <f>'2DEMOGRAPHICS'!E38</f>
        <v>44077</v>
      </c>
      <c r="F38" s="122" t="s">
        <v>104</v>
      </c>
      <c r="G38" s="96" t="s">
        <v>364</v>
      </c>
      <c r="H38" s="601" t="s">
        <v>618</v>
      </c>
      <c r="I38" s="601" t="s">
        <v>641</v>
      </c>
      <c r="J38" s="705" t="s">
        <v>364</v>
      </c>
      <c r="K38" s="603" t="s">
        <v>618</v>
      </c>
      <c r="L38" s="603" t="s">
        <v>641</v>
      </c>
      <c r="M38" s="708" t="s">
        <v>364</v>
      </c>
      <c r="N38" s="601" t="s">
        <v>618</v>
      </c>
      <c r="O38" s="601" t="s">
        <v>641</v>
      </c>
      <c r="P38" s="705" t="s">
        <v>364</v>
      </c>
      <c r="Q38" s="603" t="s">
        <v>618</v>
      </c>
      <c r="R38" s="603" t="s">
        <v>641</v>
      </c>
      <c r="S38" s="708" t="s">
        <v>364</v>
      </c>
      <c r="T38" s="601" t="s">
        <v>618</v>
      </c>
      <c r="U38" s="601" t="s">
        <v>641</v>
      </c>
      <c r="V38" s="705" t="s">
        <v>364</v>
      </c>
      <c r="W38" s="603" t="s">
        <v>618</v>
      </c>
      <c r="X38" s="603" t="s">
        <v>641</v>
      </c>
      <c r="Y38" s="708" t="s">
        <v>364</v>
      </c>
      <c r="Z38" s="601" t="s">
        <v>618</v>
      </c>
      <c r="AA38" s="601" t="s">
        <v>641</v>
      </c>
      <c r="AB38" s="705" t="s">
        <v>364</v>
      </c>
      <c r="AC38" s="603" t="s">
        <v>618</v>
      </c>
      <c r="AD38" s="603" t="s">
        <v>641</v>
      </c>
      <c r="AE38" s="708" t="s">
        <v>364</v>
      </c>
      <c r="AF38" s="601" t="s">
        <v>618</v>
      </c>
      <c r="AG38" s="601" t="s">
        <v>641</v>
      </c>
      <c r="AH38" s="705" t="s">
        <v>364</v>
      </c>
      <c r="AI38" s="603" t="s">
        <v>618</v>
      </c>
      <c r="AJ38" s="603" t="s">
        <v>641</v>
      </c>
      <c r="AK38" s="715" t="s">
        <v>364</v>
      </c>
      <c r="AL38" s="601" t="s">
        <v>618</v>
      </c>
      <c r="AM38" s="601" t="s">
        <v>641</v>
      </c>
      <c r="AN38" s="705" t="s">
        <v>364</v>
      </c>
      <c r="AO38" s="603" t="s">
        <v>618</v>
      </c>
      <c r="AP38" s="599" t="s">
        <v>641</v>
      </c>
      <c r="AQ38" s="123" t="s">
        <v>364</v>
      </c>
      <c r="AR38" s="698" t="s">
        <v>22</v>
      </c>
      <c r="AS38" s="601" t="s">
        <v>618</v>
      </c>
      <c r="AT38" s="598" t="s">
        <v>641</v>
      </c>
      <c r="AU38" s="185" t="s">
        <v>364</v>
      </c>
      <c r="AV38" s="700" t="s">
        <v>22</v>
      </c>
      <c r="AW38" s="603" t="s">
        <v>618</v>
      </c>
      <c r="AX38" s="718" t="s">
        <v>641</v>
      </c>
      <c r="AY38" s="701" t="s">
        <v>104</v>
      </c>
      <c r="AZ38" s="406">
        <v>44107</v>
      </c>
      <c r="BA38" s="412" t="s">
        <v>520</v>
      </c>
      <c r="BB38" s="398"/>
    </row>
    <row r="39" spans="1:54" ht="39.950000000000003" customHeight="1" x14ac:dyDescent="0.25">
      <c r="A39" s="18">
        <f t="shared" si="1"/>
        <v>27</v>
      </c>
      <c r="B39" s="110">
        <f>'2DEMOGRAPHICS'!B39</f>
        <v>27</v>
      </c>
      <c r="C39" s="111" t="str">
        <f>'2DEMOGRAPHICS'!C39</f>
        <v>aaaaa11111aaaaa</v>
      </c>
      <c r="D39" s="112">
        <f>'2DEMOGRAPHICS'!D39</f>
        <v>44136</v>
      </c>
      <c r="E39" s="113">
        <f>'2DEMOGRAPHICS'!E39</f>
        <v>44137</v>
      </c>
      <c r="F39" s="122" t="s">
        <v>100</v>
      </c>
      <c r="G39" s="96" t="s">
        <v>362</v>
      </c>
      <c r="H39" s="601" t="s">
        <v>619</v>
      </c>
      <c r="I39" s="601" t="s">
        <v>642</v>
      </c>
      <c r="J39" s="705" t="s">
        <v>362</v>
      </c>
      <c r="K39" s="603" t="s">
        <v>619</v>
      </c>
      <c r="L39" s="603" t="s">
        <v>642</v>
      </c>
      <c r="M39" s="708" t="s">
        <v>362</v>
      </c>
      <c r="N39" s="601" t="s">
        <v>619</v>
      </c>
      <c r="O39" s="601" t="s">
        <v>642</v>
      </c>
      <c r="P39" s="705" t="s">
        <v>362</v>
      </c>
      <c r="Q39" s="603" t="s">
        <v>619</v>
      </c>
      <c r="R39" s="603" t="s">
        <v>642</v>
      </c>
      <c r="S39" s="708" t="s">
        <v>362</v>
      </c>
      <c r="T39" s="601" t="s">
        <v>619</v>
      </c>
      <c r="U39" s="601" t="s">
        <v>642</v>
      </c>
      <c r="V39" s="705" t="s">
        <v>362</v>
      </c>
      <c r="W39" s="603" t="s">
        <v>619</v>
      </c>
      <c r="X39" s="603" t="s">
        <v>642</v>
      </c>
      <c r="Y39" s="708" t="s">
        <v>362</v>
      </c>
      <c r="Z39" s="601" t="s">
        <v>619</v>
      </c>
      <c r="AA39" s="601" t="s">
        <v>642</v>
      </c>
      <c r="AB39" s="705" t="s">
        <v>362</v>
      </c>
      <c r="AC39" s="603" t="s">
        <v>619</v>
      </c>
      <c r="AD39" s="603" t="s">
        <v>642</v>
      </c>
      <c r="AE39" s="708" t="s">
        <v>362</v>
      </c>
      <c r="AF39" s="601" t="s">
        <v>619</v>
      </c>
      <c r="AG39" s="601" t="s">
        <v>642</v>
      </c>
      <c r="AH39" s="705" t="s">
        <v>362</v>
      </c>
      <c r="AI39" s="603" t="s">
        <v>619</v>
      </c>
      <c r="AJ39" s="603" t="s">
        <v>642</v>
      </c>
      <c r="AK39" s="715" t="s">
        <v>362</v>
      </c>
      <c r="AL39" s="601" t="s">
        <v>619</v>
      </c>
      <c r="AM39" s="601" t="s">
        <v>642</v>
      </c>
      <c r="AN39" s="705" t="s">
        <v>362</v>
      </c>
      <c r="AO39" s="603" t="s">
        <v>619</v>
      </c>
      <c r="AP39" s="599" t="s">
        <v>642</v>
      </c>
      <c r="AQ39" s="123" t="s">
        <v>362</v>
      </c>
      <c r="AR39" s="698" t="s">
        <v>22</v>
      </c>
      <c r="AS39" s="601" t="s">
        <v>619</v>
      </c>
      <c r="AT39" s="598" t="s">
        <v>642</v>
      </c>
      <c r="AU39" s="185" t="s">
        <v>362</v>
      </c>
      <c r="AV39" s="700" t="s">
        <v>22</v>
      </c>
      <c r="AW39" s="603" t="s">
        <v>619</v>
      </c>
      <c r="AX39" s="718" t="s">
        <v>642</v>
      </c>
      <c r="AY39" s="701" t="s">
        <v>100</v>
      </c>
      <c r="AZ39" s="406">
        <v>44137</v>
      </c>
      <c r="BA39" s="412" t="s">
        <v>518</v>
      </c>
      <c r="BB39" s="398"/>
    </row>
    <row r="40" spans="1:54" ht="39.950000000000003" customHeight="1" x14ac:dyDescent="0.25">
      <c r="A40" s="18">
        <f t="shared" si="1"/>
        <v>28</v>
      </c>
      <c r="B40" s="110">
        <f>'2DEMOGRAPHICS'!B40</f>
        <v>28</v>
      </c>
      <c r="C40" s="111" t="str">
        <f>'2DEMOGRAPHICS'!C40</f>
        <v>aaaaa11111aaaaa</v>
      </c>
      <c r="D40" s="112">
        <f>'2DEMOGRAPHICS'!D40</f>
        <v>44166</v>
      </c>
      <c r="E40" s="113">
        <f>'2DEMOGRAPHICS'!E40</f>
        <v>44170</v>
      </c>
      <c r="F40" s="122" t="s">
        <v>104</v>
      </c>
      <c r="G40" s="96" t="s">
        <v>363</v>
      </c>
      <c r="H40" s="601" t="s">
        <v>620</v>
      </c>
      <c r="I40" s="601" t="s">
        <v>643</v>
      </c>
      <c r="J40" s="705" t="s">
        <v>363</v>
      </c>
      <c r="K40" s="603" t="s">
        <v>620</v>
      </c>
      <c r="L40" s="603" t="s">
        <v>643</v>
      </c>
      <c r="M40" s="708" t="s">
        <v>363</v>
      </c>
      <c r="N40" s="601" t="s">
        <v>620</v>
      </c>
      <c r="O40" s="601" t="s">
        <v>643</v>
      </c>
      <c r="P40" s="705" t="s">
        <v>363</v>
      </c>
      <c r="Q40" s="603" t="s">
        <v>620</v>
      </c>
      <c r="R40" s="603" t="s">
        <v>643</v>
      </c>
      <c r="S40" s="708" t="s">
        <v>363</v>
      </c>
      <c r="T40" s="601" t="s">
        <v>620</v>
      </c>
      <c r="U40" s="601" t="s">
        <v>643</v>
      </c>
      <c r="V40" s="705" t="s">
        <v>363</v>
      </c>
      <c r="W40" s="603" t="s">
        <v>620</v>
      </c>
      <c r="X40" s="603" t="s">
        <v>643</v>
      </c>
      <c r="Y40" s="708" t="s">
        <v>363</v>
      </c>
      <c r="Z40" s="601" t="s">
        <v>620</v>
      </c>
      <c r="AA40" s="601" t="s">
        <v>643</v>
      </c>
      <c r="AB40" s="705" t="s">
        <v>363</v>
      </c>
      <c r="AC40" s="603" t="s">
        <v>620</v>
      </c>
      <c r="AD40" s="603" t="s">
        <v>643</v>
      </c>
      <c r="AE40" s="708" t="s">
        <v>363</v>
      </c>
      <c r="AF40" s="601" t="s">
        <v>620</v>
      </c>
      <c r="AG40" s="601" t="s">
        <v>643</v>
      </c>
      <c r="AH40" s="705" t="s">
        <v>363</v>
      </c>
      <c r="AI40" s="603" t="s">
        <v>620</v>
      </c>
      <c r="AJ40" s="603" t="s">
        <v>643</v>
      </c>
      <c r="AK40" s="715" t="s">
        <v>363</v>
      </c>
      <c r="AL40" s="601" t="s">
        <v>620</v>
      </c>
      <c r="AM40" s="601" t="s">
        <v>643</v>
      </c>
      <c r="AN40" s="705" t="s">
        <v>363</v>
      </c>
      <c r="AO40" s="603" t="s">
        <v>620</v>
      </c>
      <c r="AP40" s="599" t="s">
        <v>643</v>
      </c>
      <c r="AQ40" s="123" t="s">
        <v>363</v>
      </c>
      <c r="AR40" s="698" t="s">
        <v>22</v>
      </c>
      <c r="AS40" s="601" t="s">
        <v>620</v>
      </c>
      <c r="AT40" s="598" t="s">
        <v>643</v>
      </c>
      <c r="AU40" s="185" t="s">
        <v>363</v>
      </c>
      <c r="AV40" s="700" t="s">
        <v>22</v>
      </c>
      <c r="AW40" s="603" t="s">
        <v>620</v>
      </c>
      <c r="AX40" s="718" t="s">
        <v>643</v>
      </c>
      <c r="AY40" s="701" t="s">
        <v>104</v>
      </c>
      <c r="AZ40" s="406">
        <v>44170</v>
      </c>
      <c r="BA40" s="412" t="s">
        <v>192</v>
      </c>
      <c r="BB40" s="398"/>
    </row>
    <row r="41" spans="1:54" ht="39.950000000000003" customHeight="1" x14ac:dyDescent="0.25">
      <c r="A41" s="18">
        <f t="shared" si="1"/>
        <v>29</v>
      </c>
      <c r="B41" s="110">
        <f>'2DEMOGRAPHICS'!B41</f>
        <v>29</v>
      </c>
      <c r="C41" s="111" t="str">
        <f>'2DEMOGRAPHICS'!C41</f>
        <v>aaaaa11111aaaaa</v>
      </c>
      <c r="D41" s="112">
        <f>'2DEMOGRAPHICS'!D41</f>
        <v>44197</v>
      </c>
      <c r="E41" s="113">
        <f>'2DEMOGRAPHICS'!E41</f>
        <v>44201</v>
      </c>
      <c r="F41" s="122" t="s">
        <v>100</v>
      </c>
      <c r="G41" s="96" t="s">
        <v>364</v>
      </c>
      <c r="H41" s="601" t="s">
        <v>617</v>
      </c>
      <c r="I41" s="601" t="s">
        <v>644</v>
      </c>
      <c r="J41" s="705" t="s">
        <v>364</v>
      </c>
      <c r="K41" s="603" t="s">
        <v>617</v>
      </c>
      <c r="L41" s="603" t="s">
        <v>644</v>
      </c>
      <c r="M41" s="708" t="s">
        <v>364</v>
      </c>
      <c r="N41" s="601" t="s">
        <v>617</v>
      </c>
      <c r="O41" s="601" t="s">
        <v>644</v>
      </c>
      <c r="P41" s="705" t="s">
        <v>364</v>
      </c>
      <c r="Q41" s="603" t="s">
        <v>617</v>
      </c>
      <c r="R41" s="603" t="s">
        <v>644</v>
      </c>
      <c r="S41" s="708" t="s">
        <v>364</v>
      </c>
      <c r="T41" s="601" t="s">
        <v>617</v>
      </c>
      <c r="U41" s="601" t="s">
        <v>644</v>
      </c>
      <c r="V41" s="705" t="s">
        <v>364</v>
      </c>
      <c r="W41" s="603" t="s">
        <v>617</v>
      </c>
      <c r="X41" s="603" t="s">
        <v>644</v>
      </c>
      <c r="Y41" s="708" t="s">
        <v>364</v>
      </c>
      <c r="Z41" s="601" t="s">
        <v>617</v>
      </c>
      <c r="AA41" s="601" t="s">
        <v>644</v>
      </c>
      <c r="AB41" s="705" t="s">
        <v>364</v>
      </c>
      <c r="AC41" s="603" t="s">
        <v>617</v>
      </c>
      <c r="AD41" s="603" t="s">
        <v>644</v>
      </c>
      <c r="AE41" s="708" t="s">
        <v>364</v>
      </c>
      <c r="AF41" s="601" t="s">
        <v>617</v>
      </c>
      <c r="AG41" s="601" t="s">
        <v>644</v>
      </c>
      <c r="AH41" s="705" t="s">
        <v>364</v>
      </c>
      <c r="AI41" s="603" t="s">
        <v>617</v>
      </c>
      <c r="AJ41" s="603" t="s">
        <v>644</v>
      </c>
      <c r="AK41" s="715" t="s">
        <v>364</v>
      </c>
      <c r="AL41" s="601" t="s">
        <v>617</v>
      </c>
      <c r="AM41" s="601" t="s">
        <v>644</v>
      </c>
      <c r="AN41" s="705" t="s">
        <v>364</v>
      </c>
      <c r="AO41" s="603" t="s">
        <v>617</v>
      </c>
      <c r="AP41" s="599" t="s">
        <v>644</v>
      </c>
      <c r="AQ41" s="123" t="s">
        <v>364</v>
      </c>
      <c r="AR41" s="698" t="s">
        <v>22</v>
      </c>
      <c r="AS41" s="601" t="s">
        <v>617</v>
      </c>
      <c r="AT41" s="598" t="s">
        <v>644</v>
      </c>
      <c r="AU41" s="185" t="s">
        <v>364</v>
      </c>
      <c r="AV41" s="700" t="s">
        <v>22</v>
      </c>
      <c r="AW41" s="603" t="s">
        <v>617</v>
      </c>
      <c r="AX41" s="718" t="s">
        <v>644</v>
      </c>
      <c r="AY41" s="701" t="s">
        <v>100</v>
      </c>
      <c r="AZ41" s="406">
        <v>44201</v>
      </c>
      <c r="BA41" s="399" t="s">
        <v>522</v>
      </c>
      <c r="BB41" s="398"/>
    </row>
    <row r="42" spans="1:54" ht="39.950000000000003" customHeight="1" x14ac:dyDescent="0.25">
      <c r="A42" s="18">
        <f t="shared" si="1"/>
        <v>30</v>
      </c>
      <c r="B42" s="110">
        <f>'2DEMOGRAPHICS'!B42</f>
        <v>30</v>
      </c>
      <c r="C42" s="111" t="str">
        <f>'2DEMOGRAPHICS'!C42</f>
        <v>aaaaa11111aaaaa</v>
      </c>
      <c r="D42" s="112">
        <f>'2DEMOGRAPHICS'!D42</f>
        <v>44228</v>
      </c>
      <c r="E42" s="113">
        <f>'2DEMOGRAPHICS'!E42</f>
        <v>44230</v>
      </c>
      <c r="F42" s="122" t="s">
        <v>104</v>
      </c>
      <c r="G42" s="97" t="s">
        <v>362</v>
      </c>
      <c r="H42" s="601" t="s">
        <v>618</v>
      </c>
      <c r="I42" s="601" t="s">
        <v>645</v>
      </c>
      <c r="J42" s="706" t="s">
        <v>362</v>
      </c>
      <c r="K42" s="603" t="s">
        <v>618</v>
      </c>
      <c r="L42" s="603" t="s">
        <v>645</v>
      </c>
      <c r="M42" s="709" t="s">
        <v>362</v>
      </c>
      <c r="N42" s="601" t="s">
        <v>618</v>
      </c>
      <c r="O42" s="601" t="s">
        <v>645</v>
      </c>
      <c r="P42" s="706" t="s">
        <v>362</v>
      </c>
      <c r="Q42" s="603" t="s">
        <v>618</v>
      </c>
      <c r="R42" s="603" t="s">
        <v>645</v>
      </c>
      <c r="S42" s="709" t="s">
        <v>362</v>
      </c>
      <c r="T42" s="601" t="s">
        <v>618</v>
      </c>
      <c r="U42" s="601" t="s">
        <v>645</v>
      </c>
      <c r="V42" s="706" t="s">
        <v>362</v>
      </c>
      <c r="W42" s="603" t="s">
        <v>618</v>
      </c>
      <c r="X42" s="603" t="s">
        <v>645</v>
      </c>
      <c r="Y42" s="709" t="s">
        <v>362</v>
      </c>
      <c r="Z42" s="601" t="s">
        <v>618</v>
      </c>
      <c r="AA42" s="601" t="s">
        <v>645</v>
      </c>
      <c r="AB42" s="706" t="s">
        <v>362</v>
      </c>
      <c r="AC42" s="603" t="s">
        <v>618</v>
      </c>
      <c r="AD42" s="603" t="s">
        <v>645</v>
      </c>
      <c r="AE42" s="709" t="s">
        <v>362</v>
      </c>
      <c r="AF42" s="601" t="s">
        <v>618</v>
      </c>
      <c r="AG42" s="601" t="s">
        <v>645</v>
      </c>
      <c r="AH42" s="706" t="s">
        <v>362</v>
      </c>
      <c r="AI42" s="603" t="s">
        <v>618</v>
      </c>
      <c r="AJ42" s="603" t="s">
        <v>645</v>
      </c>
      <c r="AK42" s="716" t="s">
        <v>362</v>
      </c>
      <c r="AL42" s="601" t="s">
        <v>618</v>
      </c>
      <c r="AM42" s="601" t="s">
        <v>645</v>
      </c>
      <c r="AN42" s="706" t="s">
        <v>362</v>
      </c>
      <c r="AO42" s="603" t="s">
        <v>618</v>
      </c>
      <c r="AP42" s="599" t="s">
        <v>645</v>
      </c>
      <c r="AQ42" s="124" t="s">
        <v>362</v>
      </c>
      <c r="AR42" s="698" t="s">
        <v>22</v>
      </c>
      <c r="AS42" s="601" t="s">
        <v>618</v>
      </c>
      <c r="AT42" s="598" t="s">
        <v>645</v>
      </c>
      <c r="AU42" s="186" t="s">
        <v>362</v>
      </c>
      <c r="AV42" s="700" t="s">
        <v>22</v>
      </c>
      <c r="AW42" s="603" t="s">
        <v>618</v>
      </c>
      <c r="AX42" s="718" t="s">
        <v>645</v>
      </c>
      <c r="AY42" s="701" t="s">
        <v>104</v>
      </c>
      <c r="AZ42" s="406">
        <v>44230</v>
      </c>
      <c r="BA42" s="412" t="s">
        <v>520</v>
      </c>
      <c r="BB42" s="398"/>
    </row>
    <row r="43" spans="1:54" ht="39.950000000000003" customHeight="1" x14ac:dyDescent="0.25">
      <c r="A43" s="18">
        <f t="shared" si="1"/>
        <v>31</v>
      </c>
      <c r="B43" s="110">
        <f>'2DEMOGRAPHICS'!B43</f>
        <v>31</v>
      </c>
      <c r="C43" s="111" t="str">
        <f>'2DEMOGRAPHICS'!C43</f>
        <v>aaaaa11111aaaaa</v>
      </c>
      <c r="D43" s="112">
        <f>'2DEMOGRAPHICS'!D43</f>
        <v>44256</v>
      </c>
      <c r="E43" s="113">
        <f>'2DEMOGRAPHICS'!E43</f>
        <v>44259</v>
      </c>
      <c r="F43" s="122" t="s">
        <v>100</v>
      </c>
      <c r="G43" s="97" t="s">
        <v>362</v>
      </c>
      <c r="H43" s="601" t="s">
        <v>619</v>
      </c>
      <c r="I43" s="601" t="s">
        <v>641</v>
      </c>
      <c r="J43" s="706" t="s">
        <v>362</v>
      </c>
      <c r="K43" s="603" t="s">
        <v>619</v>
      </c>
      <c r="L43" s="603" t="s">
        <v>641</v>
      </c>
      <c r="M43" s="709" t="s">
        <v>362</v>
      </c>
      <c r="N43" s="601" t="s">
        <v>619</v>
      </c>
      <c r="O43" s="601" t="s">
        <v>641</v>
      </c>
      <c r="P43" s="706" t="s">
        <v>362</v>
      </c>
      <c r="Q43" s="603" t="s">
        <v>619</v>
      </c>
      <c r="R43" s="603" t="s">
        <v>641</v>
      </c>
      <c r="S43" s="709" t="s">
        <v>362</v>
      </c>
      <c r="T43" s="601" t="s">
        <v>619</v>
      </c>
      <c r="U43" s="601" t="s">
        <v>641</v>
      </c>
      <c r="V43" s="706" t="s">
        <v>362</v>
      </c>
      <c r="W43" s="603" t="s">
        <v>619</v>
      </c>
      <c r="X43" s="603" t="s">
        <v>641</v>
      </c>
      <c r="Y43" s="709" t="s">
        <v>362</v>
      </c>
      <c r="Z43" s="601" t="s">
        <v>619</v>
      </c>
      <c r="AA43" s="601" t="s">
        <v>641</v>
      </c>
      <c r="AB43" s="706" t="s">
        <v>362</v>
      </c>
      <c r="AC43" s="603" t="s">
        <v>619</v>
      </c>
      <c r="AD43" s="603" t="s">
        <v>641</v>
      </c>
      <c r="AE43" s="709" t="s">
        <v>362</v>
      </c>
      <c r="AF43" s="601" t="s">
        <v>619</v>
      </c>
      <c r="AG43" s="601" t="s">
        <v>641</v>
      </c>
      <c r="AH43" s="706" t="s">
        <v>362</v>
      </c>
      <c r="AI43" s="603" t="s">
        <v>619</v>
      </c>
      <c r="AJ43" s="603" t="s">
        <v>641</v>
      </c>
      <c r="AK43" s="716" t="s">
        <v>362</v>
      </c>
      <c r="AL43" s="601" t="s">
        <v>619</v>
      </c>
      <c r="AM43" s="601" t="s">
        <v>641</v>
      </c>
      <c r="AN43" s="706" t="s">
        <v>362</v>
      </c>
      <c r="AO43" s="603" t="s">
        <v>619</v>
      </c>
      <c r="AP43" s="599" t="s">
        <v>641</v>
      </c>
      <c r="AQ43" s="124" t="s">
        <v>362</v>
      </c>
      <c r="AR43" s="698" t="s">
        <v>22</v>
      </c>
      <c r="AS43" s="601" t="s">
        <v>619</v>
      </c>
      <c r="AT43" s="598" t="s">
        <v>641</v>
      </c>
      <c r="AU43" s="186" t="s">
        <v>362</v>
      </c>
      <c r="AV43" s="700" t="s">
        <v>22</v>
      </c>
      <c r="AW43" s="603" t="s">
        <v>619</v>
      </c>
      <c r="AX43" s="718" t="s">
        <v>641</v>
      </c>
      <c r="AY43" s="701" t="s">
        <v>100</v>
      </c>
      <c r="AZ43" s="406">
        <v>44259</v>
      </c>
      <c r="BA43" s="399" t="s">
        <v>522</v>
      </c>
      <c r="BB43" s="398"/>
    </row>
    <row r="44" spans="1:54" ht="39.950000000000003" customHeight="1" x14ac:dyDescent="0.25">
      <c r="A44" s="18">
        <f t="shared" si="1"/>
        <v>32</v>
      </c>
      <c r="B44" s="110">
        <f>'2DEMOGRAPHICS'!B44</f>
        <v>32</v>
      </c>
      <c r="C44" s="111" t="str">
        <f>'2DEMOGRAPHICS'!C44</f>
        <v>aaaaa11111aaaaa</v>
      </c>
      <c r="D44" s="112">
        <f>'2DEMOGRAPHICS'!D44</f>
        <v>44287</v>
      </c>
      <c r="E44" s="113">
        <f>'2DEMOGRAPHICS'!E44</f>
        <v>44291</v>
      </c>
      <c r="F44" s="122" t="s">
        <v>104</v>
      </c>
      <c r="G44" s="96" t="s">
        <v>362</v>
      </c>
      <c r="H44" s="601" t="s">
        <v>620</v>
      </c>
      <c r="I44" s="601" t="s">
        <v>642</v>
      </c>
      <c r="J44" s="705" t="s">
        <v>362</v>
      </c>
      <c r="K44" s="603" t="s">
        <v>620</v>
      </c>
      <c r="L44" s="603" t="s">
        <v>642</v>
      </c>
      <c r="M44" s="708" t="s">
        <v>362</v>
      </c>
      <c r="N44" s="601" t="s">
        <v>620</v>
      </c>
      <c r="O44" s="601" t="s">
        <v>642</v>
      </c>
      <c r="P44" s="705" t="s">
        <v>362</v>
      </c>
      <c r="Q44" s="603" t="s">
        <v>620</v>
      </c>
      <c r="R44" s="603" t="s">
        <v>642</v>
      </c>
      <c r="S44" s="708" t="s">
        <v>362</v>
      </c>
      <c r="T44" s="601" t="s">
        <v>620</v>
      </c>
      <c r="U44" s="601" t="s">
        <v>642</v>
      </c>
      <c r="V44" s="705" t="s">
        <v>362</v>
      </c>
      <c r="W44" s="603" t="s">
        <v>620</v>
      </c>
      <c r="X44" s="603" t="s">
        <v>642</v>
      </c>
      <c r="Y44" s="708" t="s">
        <v>362</v>
      </c>
      <c r="Z44" s="601" t="s">
        <v>620</v>
      </c>
      <c r="AA44" s="601" t="s">
        <v>642</v>
      </c>
      <c r="AB44" s="705" t="s">
        <v>362</v>
      </c>
      <c r="AC44" s="603" t="s">
        <v>620</v>
      </c>
      <c r="AD44" s="603" t="s">
        <v>642</v>
      </c>
      <c r="AE44" s="708" t="s">
        <v>362</v>
      </c>
      <c r="AF44" s="601" t="s">
        <v>620</v>
      </c>
      <c r="AG44" s="601" t="s">
        <v>642</v>
      </c>
      <c r="AH44" s="705" t="s">
        <v>362</v>
      </c>
      <c r="AI44" s="603" t="s">
        <v>620</v>
      </c>
      <c r="AJ44" s="603" t="s">
        <v>642</v>
      </c>
      <c r="AK44" s="715" t="s">
        <v>362</v>
      </c>
      <c r="AL44" s="601" t="s">
        <v>620</v>
      </c>
      <c r="AM44" s="601" t="s">
        <v>642</v>
      </c>
      <c r="AN44" s="705" t="s">
        <v>362</v>
      </c>
      <c r="AO44" s="603" t="s">
        <v>620</v>
      </c>
      <c r="AP44" s="599" t="s">
        <v>642</v>
      </c>
      <c r="AQ44" s="123" t="s">
        <v>362</v>
      </c>
      <c r="AR44" s="698" t="s">
        <v>22</v>
      </c>
      <c r="AS44" s="601" t="s">
        <v>620</v>
      </c>
      <c r="AT44" s="598" t="s">
        <v>642</v>
      </c>
      <c r="AU44" s="185" t="s">
        <v>362</v>
      </c>
      <c r="AV44" s="700" t="s">
        <v>22</v>
      </c>
      <c r="AW44" s="603" t="s">
        <v>620</v>
      </c>
      <c r="AX44" s="718" t="s">
        <v>642</v>
      </c>
      <c r="AY44" s="701" t="s">
        <v>104</v>
      </c>
      <c r="AZ44" s="406">
        <v>44291</v>
      </c>
      <c r="BA44" s="412" t="s">
        <v>520</v>
      </c>
      <c r="BB44" s="398"/>
    </row>
    <row r="45" spans="1:54" ht="39.950000000000003" customHeight="1" x14ac:dyDescent="0.25">
      <c r="A45" s="18">
        <f t="shared" si="1"/>
        <v>33</v>
      </c>
      <c r="B45" s="110">
        <f>'2DEMOGRAPHICS'!B45</f>
        <v>33</v>
      </c>
      <c r="C45" s="111" t="str">
        <f>'2DEMOGRAPHICS'!C45</f>
        <v>aaaaa11111aaaaa</v>
      </c>
      <c r="D45" s="112">
        <f>'2DEMOGRAPHICS'!D45</f>
        <v>44317</v>
      </c>
      <c r="E45" s="113">
        <f>'2DEMOGRAPHICS'!E45</f>
        <v>44319</v>
      </c>
      <c r="F45" s="122" t="s">
        <v>100</v>
      </c>
      <c r="G45" s="96" t="s">
        <v>363</v>
      </c>
      <c r="H45" s="601" t="s">
        <v>617</v>
      </c>
      <c r="I45" s="601" t="s">
        <v>643</v>
      </c>
      <c r="J45" s="705" t="s">
        <v>363</v>
      </c>
      <c r="K45" s="603" t="s">
        <v>617</v>
      </c>
      <c r="L45" s="603" t="s">
        <v>643</v>
      </c>
      <c r="M45" s="708" t="s">
        <v>363</v>
      </c>
      <c r="N45" s="601" t="s">
        <v>617</v>
      </c>
      <c r="O45" s="601" t="s">
        <v>643</v>
      </c>
      <c r="P45" s="705" t="s">
        <v>363</v>
      </c>
      <c r="Q45" s="603" t="s">
        <v>617</v>
      </c>
      <c r="R45" s="603" t="s">
        <v>643</v>
      </c>
      <c r="S45" s="708" t="s">
        <v>363</v>
      </c>
      <c r="T45" s="601" t="s">
        <v>617</v>
      </c>
      <c r="U45" s="601" t="s">
        <v>643</v>
      </c>
      <c r="V45" s="705" t="s">
        <v>363</v>
      </c>
      <c r="W45" s="603" t="s">
        <v>617</v>
      </c>
      <c r="X45" s="603" t="s">
        <v>643</v>
      </c>
      <c r="Y45" s="708" t="s">
        <v>363</v>
      </c>
      <c r="Z45" s="601" t="s">
        <v>617</v>
      </c>
      <c r="AA45" s="601" t="s">
        <v>643</v>
      </c>
      <c r="AB45" s="705" t="s">
        <v>363</v>
      </c>
      <c r="AC45" s="603" t="s">
        <v>617</v>
      </c>
      <c r="AD45" s="603" t="s">
        <v>643</v>
      </c>
      <c r="AE45" s="708" t="s">
        <v>363</v>
      </c>
      <c r="AF45" s="601" t="s">
        <v>617</v>
      </c>
      <c r="AG45" s="601" t="s">
        <v>643</v>
      </c>
      <c r="AH45" s="705" t="s">
        <v>363</v>
      </c>
      <c r="AI45" s="603" t="s">
        <v>617</v>
      </c>
      <c r="AJ45" s="603" t="s">
        <v>643</v>
      </c>
      <c r="AK45" s="715" t="s">
        <v>363</v>
      </c>
      <c r="AL45" s="601" t="s">
        <v>617</v>
      </c>
      <c r="AM45" s="601" t="s">
        <v>643</v>
      </c>
      <c r="AN45" s="705" t="s">
        <v>363</v>
      </c>
      <c r="AO45" s="603" t="s">
        <v>617</v>
      </c>
      <c r="AP45" s="599" t="s">
        <v>643</v>
      </c>
      <c r="AQ45" s="123" t="s">
        <v>363</v>
      </c>
      <c r="AR45" s="698" t="s">
        <v>22</v>
      </c>
      <c r="AS45" s="601" t="s">
        <v>617</v>
      </c>
      <c r="AT45" s="598" t="s">
        <v>643</v>
      </c>
      <c r="AU45" s="185" t="s">
        <v>363</v>
      </c>
      <c r="AV45" s="700" t="s">
        <v>22</v>
      </c>
      <c r="AW45" s="603" t="s">
        <v>617</v>
      </c>
      <c r="AX45" s="718" t="s">
        <v>643</v>
      </c>
      <c r="AY45" s="701" t="s">
        <v>100</v>
      </c>
      <c r="AZ45" s="406">
        <v>44319</v>
      </c>
      <c r="BA45" s="412" t="s">
        <v>518</v>
      </c>
      <c r="BB45" s="398"/>
    </row>
    <row r="46" spans="1:54" ht="39.950000000000003" customHeight="1" x14ac:dyDescent="0.25">
      <c r="A46" s="18">
        <f t="shared" si="1"/>
        <v>34</v>
      </c>
      <c r="B46" s="110">
        <f>'2DEMOGRAPHICS'!B46</f>
        <v>34</v>
      </c>
      <c r="C46" s="111" t="str">
        <f>'2DEMOGRAPHICS'!C46</f>
        <v>aaaaa11111aaaaa</v>
      </c>
      <c r="D46" s="112">
        <f>'2DEMOGRAPHICS'!D46</f>
        <v>44348</v>
      </c>
      <c r="E46" s="113">
        <f>'2DEMOGRAPHICS'!E46</f>
        <v>44351</v>
      </c>
      <c r="F46" s="122" t="s">
        <v>104</v>
      </c>
      <c r="G46" s="96" t="s">
        <v>364</v>
      </c>
      <c r="H46" s="601" t="s">
        <v>618</v>
      </c>
      <c r="I46" s="601" t="s">
        <v>644</v>
      </c>
      <c r="J46" s="705" t="s">
        <v>364</v>
      </c>
      <c r="K46" s="603" t="s">
        <v>618</v>
      </c>
      <c r="L46" s="603" t="s">
        <v>644</v>
      </c>
      <c r="M46" s="708" t="s">
        <v>364</v>
      </c>
      <c r="N46" s="601" t="s">
        <v>618</v>
      </c>
      <c r="O46" s="601" t="s">
        <v>644</v>
      </c>
      <c r="P46" s="705" t="s">
        <v>364</v>
      </c>
      <c r="Q46" s="603" t="s">
        <v>618</v>
      </c>
      <c r="R46" s="603" t="s">
        <v>644</v>
      </c>
      <c r="S46" s="708" t="s">
        <v>364</v>
      </c>
      <c r="T46" s="601" t="s">
        <v>618</v>
      </c>
      <c r="U46" s="601" t="s">
        <v>644</v>
      </c>
      <c r="V46" s="705" t="s">
        <v>364</v>
      </c>
      <c r="W46" s="603" t="s">
        <v>618</v>
      </c>
      <c r="X46" s="603" t="s">
        <v>644</v>
      </c>
      <c r="Y46" s="708" t="s">
        <v>364</v>
      </c>
      <c r="Z46" s="601" t="s">
        <v>618</v>
      </c>
      <c r="AA46" s="601" t="s">
        <v>644</v>
      </c>
      <c r="AB46" s="705" t="s">
        <v>364</v>
      </c>
      <c r="AC46" s="603" t="s">
        <v>618</v>
      </c>
      <c r="AD46" s="603" t="s">
        <v>644</v>
      </c>
      <c r="AE46" s="708" t="s">
        <v>364</v>
      </c>
      <c r="AF46" s="601" t="s">
        <v>618</v>
      </c>
      <c r="AG46" s="601" t="s">
        <v>644</v>
      </c>
      <c r="AH46" s="705" t="s">
        <v>364</v>
      </c>
      <c r="AI46" s="603" t="s">
        <v>618</v>
      </c>
      <c r="AJ46" s="603" t="s">
        <v>644</v>
      </c>
      <c r="AK46" s="715" t="s">
        <v>364</v>
      </c>
      <c r="AL46" s="601" t="s">
        <v>618</v>
      </c>
      <c r="AM46" s="601" t="s">
        <v>644</v>
      </c>
      <c r="AN46" s="705" t="s">
        <v>364</v>
      </c>
      <c r="AO46" s="603" t="s">
        <v>618</v>
      </c>
      <c r="AP46" s="599" t="s">
        <v>644</v>
      </c>
      <c r="AQ46" s="123" t="s">
        <v>364</v>
      </c>
      <c r="AR46" s="698" t="s">
        <v>22</v>
      </c>
      <c r="AS46" s="601" t="s">
        <v>618</v>
      </c>
      <c r="AT46" s="598" t="s">
        <v>644</v>
      </c>
      <c r="AU46" s="185" t="s">
        <v>364</v>
      </c>
      <c r="AV46" s="700" t="s">
        <v>22</v>
      </c>
      <c r="AW46" s="603" t="s">
        <v>618</v>
      </c>
      <c r="AX46" s="718" t="s">
        <v>644</v>
      </c>
      <c r="AY46" s="701" t="s">
        <v>104</v>
      </c>
      <c r="AZ46" s="406">
        <v>44351</v>
      </c>
      <c r="BA46" s="412" t="s">
        <v>192</v>
      </c>
      <c r="BB46" s="398"/>
    </row>
    <row r="47" spans="1:54" ht="39.950000000000003" customHeight="1" x14ac:dyDescent="0.25">
      <c r="A47" s="18">
        <f t="shared" si="1"/>
        <v>35</v>
      </c>
      <c r="B47" s="110">
        <f>'2DEMOGRAPHICS'!B47</f>
        <v>35</v>
      </c>
      <c r="C47" s="111" t="str">
        <f>'2DEMOGRAPHICS'!C47</f>
        <v>aaaaa11111aaaaa</v>
      </c>
      <c r="D47" s="112">
        <f>'2DEMOGRAPHICS'!D47</f>
        <v>44378</v>
      </c>
      <c r="E47" s="113">
        <f>'2DEMOGRAPHICS'!E47</f>
        <v>44379</v>
      </c>
      <c r="F47" s="122" t="s">
        <v>100</v>
      </c>
      <c r="G47" s="96" t="s">
        <v>362</v>
      </c>
      <c r="H47" s="601" t="s">
        <v>619</v>
      </c>
      <c r="I47" s="601" t="s">
        <v>645</v>
      </c>
      <c r="J47" s="705" t="s">
        <v>362</v>
      </c>
      <c r="K47" s="603" t="s">
        <v>619</v>
      </c>
      <c r="L47" s="603" t="s">
        <v>645</v>
      </c>
      <c r="M47" s="708" t="s">
        <v>362</v>
      </c>
      <c r="N47" s="601" t="s">
        <v>619</v>
      </c>
      <c r="O47" s="601" t="s">
        <v>645</v>
      </c>
      <c r="P47" s="705" t="s">
        <v>362</v>
      </c>
      <c r="Q47" s="603" t="s">
        <v>619</v>
      </c>
      <c r="R47" s="603" t="s">
        <v>645</v>
      </c>
      <c r="S47" s="708" t="s">
        <v>362</v>
      </c>
      <c r="T47" s="601" t="s">
        <v>619</v>
      </c>
      <c r="U47" s="601" t="s">
        <v>645</v>
      </c>
      <c r="V47" s="705" t="s">
        <v>362</v>
      </c>
      <c r="W47" s="603" t="s">
        <v>619</v>
      </c>
      <c r="X47" s="603" t="s">
        <v>645</v>
      </c>
      <c r="Y47" s="708" t="s">
        <v>362</v>
      </c>
      <c r="Z47" s="601" t="s">
        <v>619</v>
      </c>
      <c r="AA47" s="601" t="s">
        <v>645</v>
      </c>
      <c r="AB47" s="705" t="s">
        <v>362</v>
      </c>
      <c r="AC47" s="603" t="s">
        <v>619</v>
      </c>
      <c r="AD47" s="603" t="s">
        <v>645</v>
      </c>
      <c r="AE47" s="708" t="s">
        <v>362</v>
      </c>
      <c r="AF47" s="601" t="s">
        <v>619</v>
      </c>
      <c r="AG47" s="601" t="s">
        <v>645</v>
      </c>
      <c r="AH47" s="705" t="s">
        <v>362</v>
      </c>
      <c r="AI47" s="603" t="s">
        <v>619</v>
      </c>
      <c r="AJ47" s="603" t="s">
        <v>645</v>
      </c>
      <c r="AK47" s="715" t="s">
        <v>362</v>
      </c>
      <c r="AL47" s="601" t="s">
        <v>619</v>
      </c>
      <c r="AM47" s="601" t="s">
        <v>645</v>
      </c>
      <c r="AN47" s="705" t="s">
        <v>362</v>
      </c>
      <c r="AO47" s="603" t="s">
        <v>619</v>
      </c>
      <c r="AP47" s="599" t="s">
        <v>645</v>
      </c>
      <c r="AQ47" s="123" t="s">
        <v>362</v>
      </c>
      <c r="AR47" s="698" t="s">
        <v>22</v>
      </c>
      <c r="AS47" s="601" t="s">
        <v>619</v>
      </c>
      <c r="AT47" s="598" t="s">
        <v>645</v>
      </c>
      <c r="AU47" s="185" t="s">
        <v>362</v>
      </c>
      <c r="AV47" s="700" t="s">
        <v>22</v>
      </c>
      <c r="AW47" s="603" t="s">
        <v>619</v>
      </c>
      <c r="AX47" s="718" t="s">
        <v>645</v>
      </c>
      <c r="AY47" s="701" t="s">
        <v>100</v>
      </c>
      <c r="AZ47" s="406">
        <v>44379</v>
      </c>
      <c r="BA47" s="399" t="s">
        <v>522</v>
      </c>
      <c r="BB47" s="398"/>
    </row>
    <row r="48" spans="1:54" ht="39.950000000000003" customHeight="1" x14ac:dyDescent="0.25">
      <c r="A48" s="18">
        <f t="shared" si="1"/>
        <v>36</v>
      </c>
      <c r="B48" s="110">
        <f>'2DEMOGRAPHICS'!B48</f>
        <v>36</v>
      </c>
      <c r="C48" s="111" t="str">
        <f>'2DEMOGRAPHICS'!C48</f>
        <v>aaaaa11111aaaaa</v>
      </c>
      <c r="D48" s="112">
        <f>'2DEMOGRAPHICS'!D48</f>
        <v>44409</v>
      </c>
      <c r="E48" s="113">
        <f>'2DEMOGRAPHICS'!E48</f>
        <v>44412</v>
      </c>
      <c r="F48" s="122" t="s">
        <v>104</v>
      </c>
      <c r="G48" s="96" t="s">
        <v>363</v>
      </c>
      <c r="H48" s="601" t="s">
        <v>620</v>
      </c>
      <c r="I48" s="601" t="s">
        <v>641</v>
      </c>
      <c r="J48" s="705" t="s">
        <v>363</v>
      </c>
      <c r="K48" s="603" t="s">
        <v>620</v>
      </c>
      <c r="L48" s="603" t="s">
        <v>641</v>
      </c>
      <c r="M48" s="708" t="s">
        <v>363</v>
      </c>
      <c r="N48" s="601" t="s">
        <v>620</v>
      </c>
      <c r="O48" s="601" t="s">
        <v>641</v>
      </c>
      <c r="P48" s="705" t="s">
        <v>363</v>
      </c>
      <c r="Q48" s="603" t="s">
        <v>620</v>
      </c>
      <c r="R48" s="603" t="s">
        <v>641</v>
      </c>
      <c r="S48" s="708" t="s">
        <v>363</v>
      </c>
      <c r="T48" s="601" t="s">
        <v>620</v>
      </c>
      <c r="U48" s="601" t="s">
        <v>641</v>
      </c>
      <c r="V48" s="705" t="s">
        <v>363</v>
      </c>
      <c r="W48" s="603" t="s">
        <v>620</v>
      </c>
      <c r="X48" s="603" t="s">
        <v>641</v>
      </c>
      <c r="Y48" s="708" t="s">
        <v>363</v>
      </c>
      <c r="Z48" s="601" t="s">
        <v>620</v>
      </c>
      <c r="AA48" s="601" t="s">
        <v>641</v>
      </c>
      <c r="AB48" s="705" t="s">
        <v>363</v>
      </c>
      <c r="AC48" s="603" t="s">
        <v>620</v>
      </c>
      <c r="AD48" s="603" t="s">
        <v>641</v>
      </c>
      <c r="AE48" s="708" t="s">
        <v>363</v>
      </c>
      <c r="AF48" s="601" t="s">
        <v>620</v>
      </c>
      <c r="AG48" s="601" t="s">
        <v>641</v>
      </c>
      <c r="AH48" s="705" t="s">
        <v>363</v>
      </c>
      <c r="AI48" s="603" t="s">
        <v>620</v>
      </c>
      <c r="AJ48" s="603" t="s">
        <v>641</v>
      </c>
      <c r="AK48" s="715" t="s">
        <v>363</v>
      </c>
      <c r="AL48" s="601" t="s">
        <v>620</v>
      </c>
      <c r="AM48" s="601" t="s">
        <v>641</v>
      </c>
      <c r="AN48" s="705" t="s">
        <v>363</v>
      </c>
      <c r="AO48" s="603" t="s">
        <v>620</v>
      </c>
      <c r="AP48" s="599" t="s">
        <v>641</v>
      </c>
      <c r="AQ48" s="123" t="s">
        <v>363</v>
      </c>
      <c r="AR48" s="698" t="s">
        <v>22</v>
      </c>
      <c r="AS48" s="601" t="s">
        <v>620</v>
      </c>
      <c r="AT48" s="598" t="s">
        <v>641</v>
      </c>
      <c r="AU48" s="185" t="s">
        <v>363</v>
      </c>
      <c r="AV48" s="700" t="s">
        <v>22</v>
      </c>
      <c r="AW48" s="603" t="s">
        <v>620</v>
      </c>
      <c r="AX48" s="718" t="s">
        <v>641</v>
      </c>
      <c r="AY48" s="701" t="s">
        <v>104</v>
      </c>
      <c r="AZ48" s="406">
        <v>44412</v>
      </c>
      <c r="BA48" s="412" t="s">
        <v>520</v>
      </c>
      <c r="BB48" s="398"/>
    </row>
    <row r="49" spans="1:54" ht="39.950000000000003" customHeight="1" x14ac:dyDescent="0.25">
      <c r="A49" s="18">
        <f t="shared" si="1"/>
        <v>37</v>
      </c>
      <c r="B49" s="110">
        <f>'2DEMOGRAPHICS'!B49</f>
        <v>37</v>
      </c>
      <c r="C49" s="111" t="str">
        <f>'2DEMOGRAPHICS'!C49</f>
        <v>aaaaa11111aaaaa</v>
      </c>
      <c r="D49" s="112">
        <f>'2DEMOGRAPHICS'!D49</f>
        <v>44075</v>
      </c>
      <c r="E49" s="113">
        <f>'2DEMOGRAPHICS'!E49</f>
        <v>44077</v>
      </c>
      <c r="F49" s="122" t="s">
        <v>100</v>
      </c>
      <c r="G49" s="96" t="s">
        <v>364</v>
      </c>
      <c r="H49" s="601" t="s">
        <v>617</v>
      </c>
      <c r="I49" s="601" t="s">
        <v>642</v>
      </c>
      <c r="J49" s="705" t="s">
        <v>364</v>
      </c>
      <c r="K49" s="603" t="s">
        <v>617</v>
      </c>
      <c r="L49" s="603" t="s">
        <v>642</v>
      </c>
      <c r="M49" s="708" t="s">
        <v>364</v>
      </c>
      <c r="N49" s="601" t="s">
        <v>617</v>
      </c>
      <c r="O49" s="601" t="s">
        <v>642</v>
      </c>
      <c r="P49" s="705" t="s">
        <v>364</v>
      </c>
      <c r="Q49" s="603" t="s">
        <v>617</v>
      </c>
      <c r="R49" s="603" t="s">
        <v>642</v>
      </c>
      <c r="S49" s="708" t="s">
        <v>364</v>
      </c>
      <c r="T49" s="601" t="s">
        <v>617</v>
      </c>
      <c r="U49" s="601" t="s">
        <v>642</v>
      </c>
      <c r="V49" s="705" t="s">
        <v>364</v>
      </c>
      <c r="W49" s="603" t="s">
        <v>617</v>
      </c>
      <c r="X49" s="603" t="s">
        <v>642</v>
      </c>
      <c r="Y49" s="708" t="s">
        <v>364</v>
      </c>
      <c r="Z49" s="601" t="s">
        <v>617</v>
      </c>
      <c r="AA49" s="601" t="s">
        <v>642</v>
      </c>
      <c r="AB49" s="705" t="s">
        <v>364</v>
      </c>
      <c r="AC49" s="603" t="s">
        <v>617</v>
      </c>
      <c r="AD49" s="603" t="s">
        <v>642</v>
      </c>
      <c r="AE49" s="708" t="s">
        <v>364</v>
      </c>
      <c r="AF49" s="601" t="s">
        <v>617</v>
      </c>
      <c r="AG49" s="601" t="s">
        <v>642</v>
      </c>
      <c r="AH49" s="705" t="s">
        <v>364</v>
      </c>
      <c r="AI49" s="603" t="s">
        <v>617</v>
      </c>
      <c r="AJ49" s="603" t="s">
        <v>642</v>
      </c>
      <c r="AK49" s="715" t="s">
        <v>364</v>
      </c>
      <c r="AL49" s="601" t="s">
        <v>617</v>
      </c>
      <c r="AM49" s="601" t="s">
        <v>642</v>
      </c>
      <c r="AN49" s="705" t="s">
        <v>364</v>
      </c>
      <c r="AO49" s="603" t="s">
        <v>617</v>
      </c>
      <c r="AP49" s="599" t="s">
        <v>642</v>
      </c>
      <c r="AQ49" s="123" t="s">
        <v>364</v>
      </c>
      <c r="AR49" s="698" t="s">
        <v>22</v>
      </c>
      <c r="AS49" s="601" t="s">
        <v>617</v>
      </c>
      <c r="AT49" s="598" t="s">
        <v>642</v>
      </c>
      <c r="AU49" s="185" t="s">
        <v>364</v>
      </c>
      <c r="AV49" s="700" t="s">
        <v>22</v>
      </c>
      <c r="AW49" s="603" t="s">
        <v>617</v>
      </c>
      <c r="AX49" s="718" t="s">
        <v>642</v>
      </c>
      <c r="AY49" s="701" t="s">
        <v>100</v>
      </c>
      <c r="AZ49" s="406">
        <v>44077</v>
      </c>
      <c r="BA49" s="412" t="s">
        <v>518</v>
      </c>
      <c r="BB49" s="398"/>
    </row>
    <row r="50" spans="1:54" ht="39.950000000000003" customHeight="1" x14ac:dyDescent="0.25">
      <c r="A50" s="18">
        <f t="shared" si="1"/>
        <v>38</v>
      </c>
      <c r="B50" s="110">
        <f>'2DEMOGRAPHICS'!B50</f>
        <v>38</v>
      </c>
      <c r="C50" s="111" t="str">
        <f>'2DEMOGRAPHICS'!C50</f>
        <v>aaaaa11111aaaaa</v>
      </c>
      <c r="D50" s="112">
        <f>'2DEMOGRAPHICS'!D50</f>
        <v>44105</v>
      </c>
      <c r="E50" s="113">
        <f>'2DEMOGRAPHICS'!E50</f>
        <v>44077</v>
      </c>
      <c r="F50" s="122" t="s">
        <v>104</v>
      </c>
      <c r="G50" s="96" t="s">
        <v>362</v>
      </c>
      <c r="H50" s="601" t="s">
        <v>618</v>
      </c>
      <c r="I50" s="601" t="s">
        <v>643</v>
      </c>
      <c r="J50" s="705" t="s">
        <v>362</v>
      </c>
      <c r="K50" s="603" t="s">
        <v>618</v>
      </c>
      <c r="L50" s="603" t="s">
        <v>643</v>
      </c>
      <c r="M50" s="708" t="s">
        <v>362</v>
      </c>
      <c r="N50" s="601" t="s">
        <v>618</v>
      </c>
      <c r="O50" s="601" t="s">
        <v>643</v>
      </c>
      <c r="P50" s="705" t="s">
        <v>362</v>
      </c>
      <c r="Q50" s="603" t="s">
        <v>618</v>
      </c>
      <c r="R50" s="603" t="s">
        <v>643</v>
      </c>
      <c r="S50" s="708" t="s">
        <v>362</v>
      </c>
      <c r="T50" s="601" t="s">
        <v>618</v>
      </c>
      <c r="U50" s="601" t="s">
        <v>643</v>
      </c>
      <c r="V50" s="705" t="s">
        <v>362</v>
      </c>
      <c r="W50" s="603" t="s">
        <v>618</v>
      </c>
      <c r="X50" s="603" t="s">
        <v>643</v>
      </c>
      <c r="Y50" s="708" t="s">
        <v>362</v>
      </c>
      <c r="Z50" s="601" t="s">
        <v>618</v>
      </c>
      <c r="AA50" s="601" t="s">
        <v>643</v>
      </c>
      <c r="AB50" s="705" t="s">
        <v>362</v>
      </c>
      <c r="AC50" s="603" t="s">
        <v>618</v>
      </c>
      <c r="AD50" s="603" t="s">
        <v>643</v>
      </c>
      <c r="AE50" s="708" t="s">
        <v>362</v>
      </c>
      <c r="AF50" s="601" t="s">
        <v>618</v>
      </c>
      <c r="AG50" s="601" t="s">
        <v>643</v>
      </c>
      <c r="AH50" s="705" t="s">
        <v>362</v>
      </c>
      <c r="AI50" s="603" t="s">
        <v>618</v>
      </c>
      <c r="AJ50" s="603" t="s">
        <v>643</v>
      </c>
      <c r="AK50" s="715" t="s">
        <v>362</v>
      </c>
      <c r="AL50" s="601" t="s">
        <v>618</v>
      </c>
      <c r="AM50" s="601" t="s">
        <v>643</v>
      </c>
      <c r="AN50" s="705" t="s">
        <v>362</v>
      </c>
      <c r="AO50" s="603" t="s">
        <v>618</v>
      </c>
      <c r="AP50" s="599" t="s">
        <v>643</v>
      </c>
      <c r="AQ50" s="123" t="s">
        <v>362</v>
      </c>
      <c r="AR50" s="698" t="s">
        <v>22</v>
      </c>
      <c r="AS50" s="601" t="s">
        <v>618</v>
      </c>
      <c r="AT50" s="598" t="s">
        <v>643</v>
      </c>
      <c r="AU50" s="185" t="s">
        <v>362</v>
      </c>
      <c r="AV50" s="700" t="s">
        <v>22</v>
      </c>
      <c r="AW50" s="603" t="s">
        <v>618</v>
      </c>
      <c r="AX50" s="718" t="s">
        <v>643</v>
      </c>
      <c r="AY50" s="701" t="s">
        <v>104</v>
      </c>
      <c r="AZ50" s="406">
        <v>44077</v>
      </c>
      <c r="BA50" s="412" t="s">
        <v>192</v>
      </c>
      <c r="BB50" s="398"/>
    </row>
    <row r="51" spans="1:54" ht="39.950000000000003" customHeight="1" x14ac:dyDescent="0.25">
      <c r="A51" s="18">
        <f t="shared" si="1"/>
        <v>39</v>
      </c>
      <c r="B51" s="110">
        <f>'2DEMOGRAPHICS'!B51</f>
        <v>39</v>
      </c>
      <c r="C51" s="111" t="str">
        <f>'2DEMOGRAPHICS'!C51</f>
        <v>aaaaa11111aaaaa</v>
      </c>
      <c r="D51" s="112">
        <f>'2DEMOGRAPHICS'!D51</f>
        <v>44136</v>
      </c>
      <c r="E51" s="113">
        <f>'2DEMOGRAPHICS'!E51</f>
        <v>44137</v>
      </c>
      <c r="F51" s="122" t="s">
        <v>100</v>
      </c>
      <c r="G51" s="96" t="s">
        <v>363</v>
      </c>
      <c r="H51" s="601" t="s">
        <v>619</v>
      </c>
      <c r="I51" s="601" t="s">
        <v>644</v>
      </c>
      <c r="J51" s="705" t="s">
        <v>363</v>
      </c>
      <c r="K51" s="603" t="s">
        <v>619</v>
      </c>
      <c r="L51" s="603" t="s">
        <v>644</v>
      </c>
      <c r="M51" s="708" t="s">
        <v>363</v>
      </c>
      <c r="N51" s="601" t="s">
        <v>619</v>
      </c>
      <c r="O51" s="601" t="s">
        <v>644</v>
      </c>
      <c r="P51" s="705" t="s">
        <v>363</v>
      </c>
      <c r="Q51" s="603" t="s">
        <v>619</v>
      </c>
      <c r="R51" s="603" t="s">
        <v>644</v>
      </c>
      <c r="S51" s="708" t="s">
        <v>363</v>
      </c>
      <c r="T51" s="601" t="s">
        <v>619</v>
      </c>
      <c r="U51" s="601" t="s">
        <v>644</v>
      </c>
      <c r="V51" s="705" t="s">
        <v>363</v>
      </c>
      <c r="W51" s="603" t="s">
        <v>619</v>
      </c>
      <c r="X51" s="603" t="s">
        <v>644</v>
      </c>
      <c r="Y51" s="708" t="s">
        <v>363</v>
      </c>
      <c r="Z51" s="601" t="s">
        <v>619</v>
      </c>
      <c r="AA51" s="601" t="s">
        <v>644</v>
      </c>
      <c r="AB51" s="705" t="s">
        <v>363</v>
      </c>
      <c r="AC51" s="603" t="s">
        <v>619</v>
      </c>
      <c r="AD51" s="603" t="s">
        <v>644</v>
      </c>
      <c r="AE51" s="708" t="s">
        <v>363</v>
      </c>
      <c r="AF51" s="601" t="s">
        <v>619</v>
      </c>
      <c r="AG51" s="601" t="s">
        <v>644</v>
      </c>
      <c r="AH51" s="705" t="s">
        <v>363</v>
      </c>
      <c r="AI51" s="603" t="s">
        <v>619</v>
      </c>
      <c r="AJ51" s="603" t="s">
        <v>644</v>
      </c>
      <c r="AK51" s="715" t="s">
        <v>363</v>
      </c>
      <c r="AL51" s="601" t="s">
        <v>619</v>
      </c>
      <c r="AM51" s="601" t="s">
        <v>644</v>
      </c>
      <c r="AN51" s="705" t="s">
        <v>363</v>
      </c>
      <c r="AO51" s="603" t="s">
        <v>619</v>
      </c>
      <c r="AP51" s="599" t="s">
        <v>644</v>
      </c>
      <c r="AQ51" s="123" t="s">
        <v>363</v>
      </c>
      <c r="AR51" s="698" t="s">
        <v>22</v>
      </c>
      <c r="AS51" s="601" t="s">
        <v>619</v>
      </c>
      <c r="AT51" s="598" t="s">
        <v>644</v>
      </c>
      <c r="AU51" s="185" t="s">
        <v>363</v>
      </c>
      <c r="AV51" s="700" t="s">
        <v>22</v>
      </c>
      <c r="AW51" s="603" t="s">
        <v>619</v>
      </c>
      <c r="AX51" s="718" t="s">
        <v>644</v>
      </c>
      <c r="AY51" s="701" t="s">
        <v>100</v>
      </c>
      <c r="AZ51" s="406">
        <v>44137</v>
      </c>
      <c r="BA51" s="399" t="s">
        <v>522</v>
      </c>
      <c r="BB51" s="398"/>
    </row>
    <row r="52" spans="1:54" ht="39.950000000000003" customHeight="1" x14ac:dyDescent="0.25">
      <c r="A52" s="18">
        <f t="shared" si="1"/>
        <v>40</v>
      </c>
      <c r="B52" s="110">
        <f>'2DEMOGRAPHICS'!B52</f>
        <v>40</v>
      </c>
      <c r="C52" s="111" t="str">
        <f>'2DEMOGRAPHICS'!C52</f>
        <v>aaaaa11111aaaaa</v>
      </c>
      <c r="D52" s="112">
        <f>'2DEMOGRAPHICS'!D52</f>
        <v>44166</v>
      </c>
      <c r="E52" s="113">
        <f>'2DEMOGRAPHICS'!E52</f>
        <v>44170</v>
      </c>
      <c r="F52" s="122" t="s">
        <v>104</v>
      </c>
      <c r="G52" s="96" t="s">
        <v>364</v>
      </c>
      <c r="H52" s="601" t="s">
        <v>620</v>
      </c>
      <c r="I52" s="601" t="s">
        <v>645</v>
      </c>
      <c r="J52" s="705" t="s">
        <v>364</v>
      </c>
      <c r="K52" s="603" t="s">
        <v>620</v>
      </c>
      <c r="L52" s="603" t="s">
        <v>645</v>
      </c>
      <c r="M52" s="708" t="s">
        <v>364</v>
      </c>
      <c r="N52" s="601" t="s">
        <v>620</v>
      </c>
      <c r="O52" s="601" t="s">
        <v>645</v>
      </c>
      <c r="P52" s="705" t="s">
        <v>364</v>
      </c>
      <c r="Q52" s="603" t="s">
        <v>620</v>
      </c>
      <c r="R52" s="603" t="s">
        <v>645</v>
      </c>
      <c r="S52" s="708" t="s">
        <v>364</v>
      </c>
      <c r="T52" s="601" t="s">
        <v>620</v>
      </c>
      <c r="U52" s="601" t="s">
        <v>645</v>
      </c>
      <c r="V52" s="705" t="s">
        <v>364</v>
      </c>
      <c r="W52" s="603" t="s">
        <v>620</v>
      </c>
      <c r="X52" s="603" t="s">
        <v>645</v>
      </c>
      <c r="Y52" s="708" t="s">
        <v>364</v>
      </c>
      <c r="Z52" s="601" t="s">
        <v>620</v>
      </c>
      <c r="AA52" s="601" t="s">
        <v>645</v>
      </c>
      <c r="AB52" s="705" t="s">
        <v>364</v>
      </c>
      <c r="AC52" s="603" t="s">
        <v>620</v>
      </c>
      <c r="AD52" s="603" t="s">
        <v>645</v>
      </c>
      <c r="AE52" s="708" t="s">
        <v>364</v>
      </c>
      <c r="AF52" s="601" t="s">
        <v>620</v>
      </c>
      <c r="AG52" s="601" t="s">
        <v>645</v>
      </c>
      <c r="AH52" s="705" t="s">
        <v>364</v>
      </c>
      <c r="AI52" s="603" t="s">
        <v>620</v>
      </c>
      <c r="AJ52" s="603" t="s">
        <v>645</v>
      </c>
      <c r="AK52" s="715" t="s">
        <v>364</v>
      </c>
      <c r="AL52" s="601" t="s">
        <v>620</v>
      </c>
      <c r="AM52" s="601" t="s">
        <v>645</v>
      </c>
      <c r="AN52" s="705" t="s">
        <v>364</v>
      </c>
      <c r="AO52" s="603" t="s">
        <v>620</v>
      </c>
      <c r="AP52" s="599" t="s">
        <v>645</v>
      </c>
      <c r="AQ52" s="123" t="s">
        <v>364</v>
      </c>
      <c r="AR52" s="698" t="s">
        <v>22</v>
      </c>
      <c r="AS52" s="601" t="s">
        <v>620</v>
      </c>
      <c r="AT52" s="598" t="s">
        <v>645</v>
      </c>
      <c r="AU52" s="185" t="s">
        <v>364</v>
      </c>
      <c r="AV52" s="700" t="s">
        <v>22</v>
      </c>
      <c r="AW52" s="603" t="s">
        <v>620</v>
      </c>
      <c r="AX52" s="718" t="s">
        <v>645</v>
      </c>
      <c r="AY52" s="701" t="s">
        <v>104</v>
      </c>
      <c r="AZ52" s="406">
        <v>44170</v>
      </c>
      <c r="BA52" s="412" t="s">
        <v>520</v>
      </c>
      <c r="BB52" s="398"/>
    </row>
    <row r="53" spans="1:54" ht="39.950000000000003" customHeight="1" x14ac:dyDescent="0.25">
      <c r="A53" s="18">
        <f t="shared" si="1"/>
        <v>41</v>
      </c>
      <c r="B53" s="110">
        <f>'2DEMOGRAPHICS'!B53</f>
        <v>41</v>
      </c>
      <c r="C53" s="111" t="str">
        <f>'2DEMOGRAPHICS'!C53</f>
        <v>aaaaa11111aaaaa</v>
      </c>
      <c r="D53" s="112">
        <f>'2DEMOGRAPHICS'!D53</f>
        <v>44197</v>
      </c>
      <c r="E53" s="113">
        <f>'2DEMOGRAPHICS'!E53</f>
        <v>44201</v>
      </c>
      <c r="F53" s="122" t="s">
        <v>100</v>
      </c>
      <c r="G53" s="97" t="s">
        <v>362</v>
      </c>
      <c r="H53" s="601" t="s">
        <v>617</v>
      </c>
      <c r="I53" s="601" t="s">
        <v>641</v>
      </c>
      <c r="J53" s="706" t="s">
        <v>362</v>
      </c>
      <c r="K53" s="603" t="s">
        <v>617</v>
      </c>
      <c r="L53" s="603" t="s">
        <v>641</v>
      </c>
      <c r="M53" s="709" t="s">
        <v>362</v>
      </c>
      <c r="N53" s="601" t="s">
        <v>617</v>
      </c>
      <c r="O53" s="601" t="s">
        <v>641</v>
      </c>
      <c r="P53" s="706" t="s">
        <v>362</v>
      </c>
      <c r="Q53" s="603" t="s">
        <v>617</v>
      </c>
      <c r="R53" s="603" t="s">
        <v>641</v>
      </c>
      <c r="S53" s="709" t="s">
        <v>362</v>
      </c>
      <c r="T53" s="601" t="s">
        <v>617</v>
      </c>
      <c r="U53" s="601" t="s">
        <v>641</v>
      </c>
      <c r="V53" s="706" t="s">
        <v>362</v>
      </c>
      <c r="W53" s="603" t="s">
        <v>617</v>
      </c>
      <c r="X53" s="603" t="s">
        <v>641</v>
      </c>
      <c r="Y53" s="709" t="s">
        <v>362</v>
      </c>
      <c r="Z53" s="601" t="s">
        <v>617</v>
      </c>
      <c r="AA53" s="601" t="s">
        <v>641</v>
      </c>
      <c r="AB53" s="706" t="s">
        <v>362</v>
      </c>
      <c r="AC53" s="603" t="s">
        <v>617</v>
      </c>
      <c r="AD53" s="603" t="s">
        <v>641</v>
      </c>
      <c r="AE53" s="709" t="s">
        <v>362</v>
      </c>
      <c r="AF53" s="601" t="s">
        <v>617</v>
      </c>
      <c r="AG53" s="601" t="s">
        <v>641</v>
      </c>
      <c r="AH53" s="706" t="s">
        <v>362</v>
      </c>
      <c r="AI53" s="603" t="s">
        <v>617</v>
      </c>
      <c r="AJ53" s="603" t="s">
        <v>641</v>
      </c>
      <c r="AK53" s="716" t="s">
        <v>362</v>
      </c>
      <c r="AL53" s="601" t="s">
        <v>617</v>
      </c>
      <c r="AM53" s="601" t="s">
        <v>641</v>
      </c>
      <c r="AN53" s="706" t="s">
        <v>362</v>
      </c>
      <c r="AO53" s="603" t="s">
        <v>617</v>
      </c>
      <c r="AP53" s="599" t="s">
        <v>641</v>
      </c>
      <c r="AQ53" s="124" t="s">
        <v>362</v>
      </c>
      <c r="AR53" s="698" t="s">
        <v>22</v>
      </c>
      <c r="AS53" s="601" t="s">
        <v>617</v>
      </c>
      <c r="AT53" s="598" t="s">
        <v>641</v>
      </c>
      <c r="AU53" s="186" t="s">
        <v>362</v>
      </c>
      <c r="AV53" s="700" t="s">
        <v>22</v>
      </c>
      <c r="AW53" s="603" t="s">
        <v>617</v>
      </c>
      <c r="AX53" s="718" t="s">
        <v>641</v>
      </c>
      <c r="AY53" s="701" t="s">
        <v>100</v>
      </c>
      <c r="AZ53" s="406">
        <v>44201</v>
      </c>
      <c r="BA53" s="399" t="s">
        <v>522</v>
      </c>
      <c r="BB53" s="398"/>
    </row>
    <row r="54" spans="1:54" ht="39.950000000000003" customHeight="1" x14ac:dyDescent="0.25">
      <c r="A54" s="18">
        <f t="shared" si="1"/>
        <v>42</v>
      </c>
      <c r="B54" s="110">
        <f>'2DEMOGRAPHICS'!B54</f>
        <v>42</v>
      </c>
      <c r="C54" s="111" t="str">
        <f>'2DEMOGRAPHICS'!C54</f>
        <v>aaaaa11111aaaaa</v>
      </c>
      <c r="D54" s="112">
        <f>'2DEMOGRAPHICS'!D54</f>
        <v>44228</v>
      </c>
      <c r="E54" s="113">
        <f>'2DEMOGRAPHICS'!E54</f>
        <v>44230</v>
      </c>
      <c r="F54" s="122" t="s">
        <v>104</v>
      </c>
      <c r="G54" s="96" t="s">
        <v>362</v>
      </c>
      <c r="H54" s="601" t="s">
        <v>618</v>
      </c>
      <c r="I54" s="601" t="s">
        <v>642</v>
      </c>
      <c r="J54" s="705" t="s">
        <v>362</v>
      </c>
      <c r="K54" s="603" t="s">
        <v>618</v>
      </c>
      <c r="L54" s="603" t="s">
        <v>642</v>
      </c>
      <c r="M54" s="708" t="s">
        <v>362</v>
      </c>
      <c r="N54" s="601" t="s">
        <v>618</v>
      </c>
      <c r="O54" s="601" t="s">
        <v>642</v>
      </c>
      <c r="P54" s="705" t="s">
        <v>362</v>
      </c>
      <c r="Q54" s="603" t="s">
        <v>618</v>
      </c>
      <c r="R54" s="603" t="s">
        <v>642</v>
      </c>
      <c r="S54" s="708" t="s">
        <v>362</v>
      </c>
      <c r="T54" s="601" t="s">
        <v>618</v>
      </c>
      <c r="U54" s="601" t="s">
        <v>642</v>
      </c>
      <c r="V54" s="705" t="s">
        <v>362</v>
      </c>
      <c r="W54" s="603" t="s">
        <v>618</v>
      </c>
      <c r="X54" s="603" t="s">
        <v>642</v>
      </c>
      <c r="Y54" s="708" t="s">
        <v>362</v>
      </c>
      <c r="Z54" s="601" t="s">
        <v>618</v>
      </c>
      <c r="AA54" s="601" t="s">
        <v>642</v>
      </c>
      <c r="AB54" s="705" t="s">
        <v>362</v>
      </c>
      <c r="AC54" s="603" t="s">
        <v>618</v>
      </c>
      <c r="AD54" s="603" t="s">
        <v>642</v>
      </c>
      <c r="AE54" s="708" t="s">
        <v>362</v>
      </c>
      <c r="AF54" s="601" t="s">
        <v>618</v>
      </c>
      <c r="AG54" s="601" t="s">
        <v>642</v>
      </c>
      <c r="AH54" s="705" t="s">
        <v>362</v>
      </c>
      <c r="AI54" s="603" t="s">
        <v>618</v>
      </c>
      <c r="AJ54" s="603" t="s">
        <v>642</v>
      </c>
      <c r="AK54" s="715" t="s">
        <v>362</v>
      </c>
      <c r="AL54" s="601" t="s">
        <v>618</v>
      </c>
      <c r="AM54" s="601" t="s">
        <v>642</v>
      </c>
      <c r="AN54" s="705" t="s">
        <v>362</v>
      </c>
      <c r="AO54" s="603" t="s">
        <v>618</v>
      </c>
      <c r="AP54" s="599" t="s">
        <v>642</v>
      </c>
      <c r="AQ54" s="123" t="s">
        <v>362</v>
      </c>
      <c r="AR54" s="698" t="s">
        <v>22</v>
      </c>
      <c r="AS54" s="601" t="s">
        <v>618</v>
      </c>
      <c r="AT54" s="598" t="s">
        <v>642</v>
      </c>
      <c r="AU54" s="185" t="s">
        <v>362</v>
      </c>
      <c r="AV54" s="700" t="s">
        <v>22</v>
      </c>
      <c r="AW54" s="603" t="s">
        <v>618</v>
      </c>
      <c r="AX54" s="718" t="s">
        <v>642</v>
      </c>
      <c r="AY54" s="701" t="s">
        <v>104</v>
      </c>
      <c r="AZ54" s="406">
        <v>44230</v>
      </c>
      <c r="BA54" s="412" t="s">
        <v>520</v>
      </c>
      <c r="BB54" s="398"/>
    </row>
    <row r="55" spans="1:54" ht="39.950000000000003" customHeight="1" x14ac:dyDescent="0.25">
      <c r="A55" s="18">
        <f t="shared" si="1"/>
        <v>43</v>
      </c>
      <c r="B55" s="110">
        <f>'2DEMOGRAPHICS'!B55</f>
        <v>43</v>
      </c>
      <c r="C55" s="111" t="str">
        <f>'2DEMOGRAPHICS'!C55</f>
        <v>aaaaa11111aaaaa</v>
      </c>
      <c r="D55" s="112">
        <f>'2DEMOGRAPHICS'!D55</f>
        <v>44256</v>
      </c>
      <c r="E55" s="113">
        <f>'2DEMOGRAPHICS'!E55</f>
        <v>44259</v>
      </c>
      <c r="F55" s="122" t="s">
        <v>100</v>
      </c>
      <c r="G55" s="96" t="s">
        <v>363</v>
      </c>
      <c r="H55" s="601" t="s">
        <v>619</v>
      </c>
      <c r="I55" s="601" t="s">
        <v>643</v>
      </c>
      <c r="J55" s="705" t="s">
        <v>363</v>
      </c>
      <c r="K55" s="603" t="s">
        <v>619</v>
      </c>
      <c r="L55" s="603" t="s">
        <v>643</v>
      </c>
      <c r="M55" s="708" t="s">
        <v>363</v>
      </c>
      <c r="N55" s="601" t="s">
        <v>619</v>
      </c>
      <c r="O55" s="601" t="s">
        <v>643</v>
      </c>
      <c r="P55" s="705" t="s">
        <v>363</v>
      </c>
      <c r="Q55" s="603" t="s">
        <v>619</v>
      </c>
      <c r="R55" s="603" t="s">
        <v>643</v>
      </c>
      <c r="S55" s="708" t="s">
        <v>363</v>
      </c>
      <c r="T55" s="601" t="s">
        <v>619</v>
      </c>
      <c r="U55" s="601" t="s">
        <v>643</v>
      </c>
      <c r="V55" s="705" t="s">
        <v>363</v>
      </c>
      <c r="W55" s="603" t="s">
        <v>619</v>
      </c>
      <c r="X55" s="603" t="s">
        <v>643</v>
      </c>
      <c r="Y55" s="708" t="s">
        <v>363</v>
      </c>
      <c r="Z55" s="601" t="s">
        <v>619</v>
      </c>
      <c r="AA55" s="601" t="s">
        <v>643</v>
      </c>
      <c r="AB55" s="705" t="s">
        <v>363</v>
      </c>
      <c r="AC55" s="603" t="s">
        <v>619</v>
      </c>
      <c r="AD55" s="603" t="s">
        <v>643</v>
      </c>
      <c r="AE55" s="708" t="s">
        <v>363</v>
      </c>
      <c r="AF55" s="601" t="s">
        <v>619</v>
      </c>
      <c r="AG55" s="601" t="s">
        <v>643</v>
      </c>
      <c r="AH55" s="705" t="s">
        <v>363</v>
      </c>
      <c r="AI55" s="603" t="s">
        <v>619</v>
      </c>
      <c r="AJ55" s="603" t="s">
        <v>643</v>
      </c>
      <c r="AK55" s="715" t="s">
        <v>363</v>
      </c>
      <c r="AL55" s="601" t="s">
        <v>619</v>
      </c>
      <c r="AM55" s="601" t="s">
        <v>643</v>
      </c>
      <c r="AN55" s="705" t="s">
        <v>363</v>
      </c>
      <c r="AO55" s="603" t="s">
        <v>619</v>
      </c>
      <c r="AP55" s="599" t="s">
        <v>643</v>
      </c>
      <c r="AQ55" s="123" t="s">
        <v>363</v>
      </c>
      <c r="AR55" s="698" t="s">
        <v>22</v>
      </c>
      <c r="AS55" s="601" t="s">
        <v>619</v>
      </c>
      <c r="AT55" s="598" t="s">
        <v>643</v>
      </c>
      <c r="AU55" s="185" t="s">
        <v>363</v>
      </c>
      <c r="AV55" s="700" t="s">
        <v>22</v>
      </c>
      <c r="AW55" s="603" t="s">
        <v>619</v>
      </c>
      <c r="AX55" s="718" t="s">
        <v>643</v>
      </c>
      <c r="AY55" s="701" t="s">
        <v>100</v>
      </c>
      <c r="AZ55" s="406">
        <v>44259</v>
      </c>
      <c r="BA55" s="412" t="s">
        <v>518</v>
      </c>
      <c r="BB55" s="398"/>
    </row>
    <row r="56" spans="1:54" ht="39.950000000000003" customHeight="1" x14ac:dyDescent="0.25">
      <c r="A56" s="18">
        <f t="shared" si="1"/>
        <v>44</v>
      </c>
      <c r="B56" s="110">
        <f>'2DEMOGRAPHICS'!B56</f>
        <v>44</v>
      </c>
      <c r="C56" s="111" t="str">
        <f>'2DEMOGRAPHICS'!C56</f>
        <v>aaaaa11111aaaaa</v>
      </c>
      <c r="D56" s="112">
        <f>'2DEMOGRAPHICS'!D56</f>
        <v>44287</v>
      </c>
      <c r="E56" s="113">
        <f>'2DEMOGRAPHICS'!E56</f>
        <v>44291</v>
      </c>
      <c r="F56" s="122" t="s">
        <v>104</v>
      </c>
      <c r="G56" s="96" t="s">
        <v>364</v>
      </c>
      <c r="H56" s="601" t="s">
        <v>620</v>
      </c>
      <c r="I56" s="601" t="s">
        <v>644</v>
      </c>
      <c r="J56" s="705" t="s">
        <v>364</v>
      </c>
      <c r="K56" s="603" t="s">
        <v>620</v>
      </c>
      <c r="L56" s="603" t="s">
        <v>644</v>
      </c>
      <c r="M56" s="708" t="s">
        <v>364</v>
      </c>
      <c r="N56" s="601" t="s">
        <v>620</v>
      </c>
      <c r="O56" s="601" t="s">
        <v>644</v>
      </c>
      <c r="P56" s="705" t="s">
        <v>364</v>
      </c>
      <c r="Q56" s="603" t="s">
        <v>620</v>
      </c>
      <c r="R56" s="603" t="s">
        <v>644</v>
      </c>
      <c r="S56" s="708" t="s">
        <v>364</v>
      </c>
      <c r="T56" s="601" t="s">
        <v>620</v>
      </c>
      <c r="U56" s="601" t="s">
        <v>644</v>
      </c>
      <c r="V56" s="705" t="s">
        <v>364</v>
      </c>
      <c r="W56" s="603" t="s">
        <v>620</v>
      </c>
      <c r="X56" s="603" t="s">
        <v>644</v>
      </c>
      <c r="Y56" s="708" t="s">
        <v>364</v>
      </c>
      <c r="Z56" s="601" t="s">
        <v>620</v>
      </c>
      <c r="AA56" s="601" t="s">
        <v>644</v>
      </c>
      <c r="AB56" s="705" t="s">
        <v>364</v>
      </c>
      <c r="AC56" s="603" t="s">
        <v>620</v>
      </c>
      <c r="AD56" s="603" t="s">
        <v>644</v>
      </c>
      <c r="AE56" s="708" t="s">
        <v>364</v>
      </c>
      <c r="AF56" s="601" t="s">
        <v>620</v>
      </c>
      <c r="AG56" s="601" t="s">
        <v>644</v>
      </c>
      <c r="AH56" s="705" t="s">
        <v>364</v>
      </c>
      <c r="AI56" s="603" t="s">
        <v>620</v>
      </c>
      <c r="AJ56" s="603" t="s">
        <v>644</v>
      </c>
      <c r="AK56" s="715" t="s">
        <v>364</v>
      </c>
      <c r="AL56" s="601" t="s">
        <v>620</v>
      </c>
      <c r="AM56" s="601" t="s">
        <v>644</v>
      </c>
      <c r="AN56" s="705" t="s">
        <v>364</v>
      </c>
      <c r="AO56" s="603" t="s">
        <v>620</v>
      </c>
      <c r="AP56" s="599" t="s">
        <v>644</v>
      </c>
      <c r="AQ56" s="123" t="s">
        <v>364</v>
      </c>
      <c r="AR56" s="698" t="s">
        <v>22</v>
      </c>
      <c r="AS56" s="601" t="s">
        <v>620</v>
      </c>
      <c r="AT56" s="598" t="s">
        <v>644</v>
      </c>
      <c r="AU56" s="185" t="s">
        <v>364</v>
      </c>
      <c r="AV56" s="700" t="s">
        <v>22</v>
      </c>
      <c r="AW56" s="603" t="s">
        <v>620</v>
      </c>
      <c r="AX56" s="718" t="s">
        <v>644</v>
      </c>
      <c r="AY56" s="701" t="s">
        <v>104</v>
      </c>
      <c r="AZ56" s="406">
        <v>44291</v>
      </c>
      <c r="BA56" s="412" t="s">
        <v>192</v>
      </c>
      <c r="BB56" s="398"/>
    </row>
    <row r="57" spans="1:54" ht="39.950000000000003" customHeight="1" x14ac:dyDescent="0.25">
      <c r="A57" s="18">
        <f t="shared" si="1"/>
        <v>45</v>
      </c>
      <c r="B57" s="110">
        <f>'2DEMOGRAPHICS'!B57</f>
        <v>45</v>
      </c>
      <c r="C57" s="111" t="str">
        <f>'2DEMOGRAPHICS'!C57</f>
        <v>aaaaa11111aaaaa</v>
      </c>
      <c r="D57" s="112">
        <f>'2DEMOGRAPHICS'!D57</f>
        <v>44317</v>
      </c>
      <c r="E57" s="113">
        <f>'2DEMOGRAPHICS'!E57</f>
        <v>44319</v>
      </c>
      <c r="F57" s="122" t="s">
        <v>100</v>
      </c>
      <c r="G57" s="96" t="s">
        <v>362</v>
      </c>
      <c r="H57" s="601" t="s">
        <v>617</v>
      </c>
      <c r="I57" s="601" t="s">
        <v>645</v>
      </c>
      <c r="J57" s="705" t="s">
        <v>362</v>
      </c>
      <c r="K57" s="603" t="s">
        <v>617</v>
      </c>
      <c r="L57" s="603" t="s">
        <v>645</v>
      </c>
      <c r="M57" s="708" t="s">
        <v>362</v>
      </c>
      <c r="N57" s="601" t="s">
        <v>617</v>
      </c>
      <c r="O57" s="601" t="s">
        <v>645</v>
      </c>
      <c r="P57" s="705" t="s">
        <v>362</v>
      </c>
      <c r="Q57" s="603" t="s">
        <v>617</v>
      </c>
      <c r="R57" s="603" t="s">
        <v>645</v>
      </c>
      <c r="S57" s="708" t="s">
        <v>362</v>
      </c>
      <c r="T57" s="601" t="s">
        <v>617</v>
      </c>
      <c r="U57" s="601" t="s">
        <v>645</v>
      </c>
      <c r="V57" s="705" t="s">
        <v>362</v>
      </c>
      <c r="W57" s="603" t="s">
        <v>617</v>
      </c>
      <c r="X57" s="603" t="s">
        <v>645</v>
      </c>
      <c r="Y57" s="708" t="s">
        <v>362</v>
      </c>
      <c r="Z57" s="601" t="s">
        <v>617</v>
      </c>
      <c r="AA57" s="601" t="s">
        <v>645</v>
      </c>
      <c r="AB57" s="705" t="s">
        <v>362</v>
      </c>
      <c r="AC57" s="603" t="s">
        <v>617</v>
      </c>
      <c r="AD57" s="603" t="s">
        <v>645</v>
      </c>
      <c r="AE57" s="708" t="s">
        <v>362</v>
      </c>
      <c r="AF57" s="601" t="s">
        <v>617</v>
      </c>
      <c r="AG57" s="601" t="s">
        <v>645</v>
      </c>
      <c r="AH57" s="705" t="s">
        <v>362</v>
      </c>
      <c r="AI57" s="603" t="s">
        <v>617</v>
      </c>
      <c r="AJ57" s="603" t="s">
        <v>645</v>
      </c>
      <c r="AK57" s="715" t="s">
        <v>362</v>
      </c>
      <c r="AL57" s="601" t="s">
        <v>617</v>
      </c>
      <c r="AM57" s="601" t="s">
        <v>645</v>
      </c>
      <c r="AN57" s="705" t="s">
        <v>362</v>
      </c>
      <c r="AO57" s="603" t="s">
        <v>617</v>
      </c>
      <c r="AP57" s="599" t="s">
        <v>645</v>
      </c>
      <c r="AQ57" s="123" t="s">
        <v>362</v>
      </c>
      <c r="AR57" s="698" t="s">
        <v>22</v>
      </c>
      <c r="AS57" s="601" t="s">
        <v>617</v>
      </c>
      <c r="AT57" s="598" t="s">
        <v>645</v>
      </c>
      <c r="AU57" s="185" t="s">
        <v>362</v>
      </c>
      <c r="AV57" s="700" t="s">
        <v>22</v>
      </c>
      <c r="AW57" s="603" t="s">
        <v>617</v>
      </c>
      <c r="AX57" s="718" t="s">
        <v>645</v>
      </c>
      <c r="AY57" s="701" t="s">
        <v>100</v>
      </c>
      <c r="AZ57" s="406">
        <v>44319</v>
      </c>
      <c r="BA57" s="399" t="s">
        <v>522</v>
      </c>
      <c r="BB57" s="398"/>
    </row>
    <row r="58" spans="1:54" ht="39.950000000000003" customHeight="1" x14ac:dyDescent="0.25">
      <c r="A58" s="18">
        <f t="shared" si="1"/>
        <v>46</v>
      </c>
      <c r="B58" s="110">
        <f>'2DEMOGRAPHICS'!B58</f>
        <v>46</v>
      </c>
      <c r="C58" s="111" t="str">
        <f>'2DEMOGRAPHICS'!C58</f>
        <v>aaaaa11111aaaaa</v>
      </c>
      <c r="D58" s="112">
        <f>'2DEMOGRAPHICS'!D58</f>
        <v>44348</v>
      </c>
      <c r="E58" s="113">
        <f>'2DEMOGRAPHICS'!E58</f>
        <v>44351</v>
      </c>
      <c r="F58" s="122" t="s">
        <v>104</v>
      </c>
      <c r="G58" s="96" t="s">
        <v>363</v>
      </c>
      <c r="H58" s="601" t="s">
        <v>618</v>
      </c>
      <c r="I58" s="601" t="s">
        <v>641</v>
      </c>
      <c r="J58" s="705" t="s">
        <v>363</v>
      </c>
      <c r="K58" s="603" t="s">
        <v>618</v>
      </c>
      <c r="L58" s="603" t="s">
        <v>641</v>
      </c>
      <c r="M58" s="708" t="s">
        <v>363</v>
      </c>
      <c r="N58" s="601" t="s">
        <v>618</v>
      </c>
      <c r="O58" s="601" t="s">
        <v>641</v>
      </c>
      <c r="P58" s="705" t="s">
        <v>363</v>
      </c>
      <c r="Q58" s="603" t="s">
        <v>618</v>
      </c>
      <c r="R58" s="603" t="s">
        <v>641</v>
      </c>
      <c r="S58" s="708" t="s">
        <v>363</v>
      </c>
      <c r="T58" s="601" t="s">
        <v>618</v>
      </c>
      <c r="U58" s="601" t="s">
        <v>641</v>
      </c>
      <c r="V58" s="705" t="s">
        <v>363</v>
      </c>
      <c r="W58" s="603" t="s">
        <v>618</v>
      </c>
      <c r="X58" s="603" t="s">
        <v>641</v>
      </c>
      <c r="Y58" s="708" t="s">
        <v>363</v>
      </c>
      <c r="Z58" s="601" t="s">
        <v>618</v>
      </c>
      <c r="AA58" s="601" t="s">
        <v>641</v>
      </c>
      <c r="AB58" s="705" t="s">
        <v>363</v>
      </c>
      <c r="AC58" s="603" t="s">
        <v>618</v>
      </c>
      <c r="AD58" s="603" t="s">
        <v>641</v>
      </c>
      <c r="AE58" s="708" t="s">
        <v>363</v>
      </c>
      <c r="AF58" s="601" t="s">
        <v>618</v>
      </c>
      <c r="AG58" s="601" t="s">
        <v>641</v>
      </c>
      <c r="AH58" s="705" t="s">
        <v>363</v>
      </c>
      <c r="AI58" s="603" t="s">
        <v>618</v>
      </c>
      <c r="AJ58" s="603" t="s">
        <v>641</v>
      </c>
      <c r="AK58" s="715" t="s">
        <v>363</v>
      </c>
      <c r="AL58" s="601" t="s">
        <v>618</v>
      </c>
      <c r="AM58" s="601" t="s">
        <v>641</v>
      </c>
      <c r="AN58" s="705" t="s">
        <v>363</v>
      </c>
      <c r="AO58" s="603" t="s">
        <v>618</v>
      </c>
      <c r="AP58" s="599" t="s">
        <v>641</v>
      </c>
      <c r="AQ58" s="123" t="s">
        <v>363</v>
      </c>
      <c r="AR58" s="698" t="s">
        <v>22</v>
      </c>
      <c r="AS58" s="601" t="s">
        <v>618</v>
      </c>
      <c r="AT58" s="598" t="s">
        <v>641</v>
      </c>
      <c r="AU58" s="185" t="s">
        <v>363</v>
      </c>
      <c r="AV58" s="700" t="s">
        <v>22</v>
      </c>
      <c r="AW58" s="603" t="s">
        <v>618</v>
      </c>
      <c r="AX58" s="718" t="s">
        <v>641</v>
      </c>
      <c r="AY58" s="701" t="s">
        <v>104</v>
      </c>
      <c r="AZ58" s="406">
        <v>44351</v>
      </c>
      <c r="BA58" s="412" t="s">
        <v>520</v>
      </c>
      <c r="BB58" s="398"/>
    </row>
    <row r="59" spans="1:54" ht="39.950000000000003" customHeight="1" x14ac:dyDescent="0.25">
      <c r="A59" s="18">
        <f t="shared" si="1"/>
        <v>47</v>
      </c>
      <c r="B59" s="110">
        <f>'2DEMOGRAPHICS'!B59</f>
        <v>47</v>
      </c>
      <c r="C59" s="111" t="str">
        <f>'2DEMOGRAPHICS'!C59</f>
        <v>aaaaa11111aaaaa</v>
      </c>
      <c r="D59" s="112">
        <f>'2DEMOGRAPHICS'!D59</f>
        <v>44378</v>
      </c>
      <c r="E59" s="113">
        <f>'2DEMOGRAPHICS'!E59</f>
        <v>44379</v>
      </c>
      <c r="F59" s="122" t="s">
        <v>100</v>
      </c>
      <c r="G59" s="96" t="s">
        <v>364</v>
      </c>
      <c r="H59" s="601" t="s">
        <v>619</v>
      </c>
      <c r="I59" s="601" t="s">
        <v>642</v>
      </c>
      <c r="J59" s="705" t="s">
        <v>364</v>
      </c>
      <c r="K59" s="603" t="s">
        <v>619</v>
      </c>
      <c r="L59" s="603" t="s">
        <v>642</v>
      </c>
      <c r="M59" s="708" t="s">
        <v>364</v>
      </c>
      <c r="N59" s="601" t="s">
        <v>619</v>
      </c>
      <c r="O59" s="601" t="s">
        <v>642</v>
      </c>
      <c r="P59" s="705" t="s">
        <v>364</v>
      </c>
      <c r="Q59" s="603" t="s">
        <v>619</v>
      </c>
      <c r="R59" s="603" t="s">
        <v>642</v>
      </c>
      <c r="S59" s="708" t="s">
        <v>364</v>
      </c>
      <c r="T59" s="601" t="s">
        <v>619</v>
      </c>
      <c r="U59" s="601" t="s">
        <v>642</v>
      </c>
      <c r="V59" s="705" t="s">
        <v>364</v>
      </c>
      <c r="W59" s="603" t="s">
        <v>619</v>
      </c>
      <c r="X59" s="603" t="s">
        <v>642</v>
      </c>
      <c r="Y59" s="708" t="s">
        <v>364</v>
      </c>
      <c r="Z59" s="601" t="s">
        <v>619</v>
      </c>
      <c r="AA59" s="601" t="s">
        <v>642</v>
      </c>
      <c r="AB59" s="705" t="s">
        <v>364</v>
      </c>
      <c r="AC59" s="603" t="s">
        <v>619</v>
      </c>
      <c r="AD59" s="603" t="s">
        <v>642</v>
      </c>
      <c r="AE59" s="708" t="s">
        <v>364</v>
      </c>
      <c r="AF59" s="601" t="s">
        <v>619</v>
      </c>
      <c r="AG59" s="601" t="s">
        <v>642</v>
      </c>
      <c r="AH59" s="705" t="s">
        <v>364</v>
      </c>
      <c r="AI59" s="603" t="s">
        <v>619</v>
      </c>
      <c r="AJ59" s="603" t="s">
        <v>642</v>
      </c>
      <c r="AK59" s="715" t="s">
        <v>364</v>
      </c>
      <c r="AL59" s="601" t="s">
        <v>619</v>
      </c>
      <c r="AM59" s="601" t="s">
        <v>642</v>
      </c>
      <c r="AN59" s="705" t="s">
        <v>364</v>
      </c>
      <c r="AO59" s="603" t="s">
        <v>619</v>
      </c>
      <c r="AP59" s="599" t="s">
        <v>642</v>
      </c>
      <c r="AQ59" s="123" t="s">
        <v>364</v>
      </c>
      <c r="AR59" s="698" t="s">
        <v>22</v>
      </c>
      <c r="AS59" s="601" t="s">
        <v>619</v>
      </c>
      <c r="AT59" s="598" t="s">
        <v>642</v>
      </c>
      <c r="AU59" s="185" t="s">
        <v>364</v>
      </c>
      <c r="AV59" s="700" t="s">
        <v>22</v>
      </c>
      <c r="AW59" s="603" t="s">
        <v>619</v>
      </c>
      <c r="AX59" s="718" t="s">
        <v>642</v>
      </c>
      <c r="AY59" s="701" t="s">
        <v>100</v>
      </c>
      <c r="AZ59" s="406">
        <v>44379</v>
      </c>
      <c r="BA59" s="412" t="s">
        <v>518</v>
      </c>
      <c r="BB59" s="398"/>
    </row>
    <row r="60" spans="1:54" ht="39.950000000000003" customHeight="1" x14ac:dyDescent="0.25">
      <c r="A60" s="18">
        <f t="shared" si="1"/>
        <v>48</v>
      </c>
      <c r="B60" s="110">
        <f>'2DEMOGRAPHICS'!B60</f>
        <v>48</v>
      </c>
      <c r="C60" s="111" t="str">
        <f>'2DEMOGRAPHICS'!C60</f>
        <v>aaaaa11111aaaaa</v>
      </c>
      <c r="D60" s="112">
        <f>'2DEMOGRAPHICS'!D60</f>
        <v>44409</v>
      </c>
      <c r="E60" s="113">
        <f>'2DEMOGRAPHICS'!E60</f>
        <v>44412</v>
      </c>
      <c r="F60" s="122" t="s">
        <v>104</v>
      </c>
      <c r="G60" s="96" t="s">
        <v>362</v>
      </c>
      <c r="H60" s="601" t="s">
        <v>620</v>
      </c>
      <c r="I60" s="601" t="s">
        <v>643</v>
      </c>
      <c r="J60" s="705" t="s">
        <v>362</v>
      </c>
      <c r="K60" s="603" t="s">
        <v>620</v>
      </c>
      <c r="L60" s="603" t="s">
        <v>643</v>
      </c>
      <c r="M60" s="708" t="s">
        <v>362</v>
      </c>
      <c r="N60" s="601" t="s">
        <v>620</v>
      </c>
      <c r="O60" s="601" t="s">
        <v>643</v>
      </c>
      <c r="P60" s="705" t="s">
        <v>362</v>
      </c>
      <c r="Q60" s="603" t="s">
        <v>620</v>
      </c>
      <c r="R60" s="603" t="s">
        <v>643</v>
      </c>
      <c r="S60" s="708" t="s">
        <v>362</v>
      </c>
      <c r="T60" s="601" t="s">
        <v>620</v>
      </c>
      <c r="U60" s="601" t="s">
        <v>643</v>
      </c>
      <c r="V60" s="705" t="s">
        <v>362</v>
      </c>
      <c r="W60" s="603" t="s">
        <v>620</v>
      </c>
      <c r="X60" s="603" t="s">
        <v>643</v>
      </c>
      <c r="Y60" s="708" t="s">
        <v>362</v>
      </c>
      <c r="Z60" s="601" t="s">
        <v>620</v>
      </c>
      <c r="AA60" s="601" t="s">
        <v>643</v>
      </c>
      <c r="AB60" s="705" t="s">
        <v>362</v>
      </c>
      <c r="AC60" s="603" t="s">
        <v>620</v>
      </c>
      <c r="AD60" s="603" t="s">
        <v>643</v>
      </c>
      <c r="AE60" s="708" t="s">
        <v>362</v>
      </c>
      <c r="AF60" s="601" t="s">
        <v>620</v>
      </c>
      <c r="AG60" s="601" t="s">
        <v>643</v>
      </c>
      <c r="AH60" s="705" t="s">
        <v>362</v>
      </c>
      <c r="AI60" s="603" t="s">
        <v>620</v>
      </c>
      <c r="AJ60" s="603" t="s">
        <v>643</v>
      </c>
      <c r="AK60" s="715" t="s">
        <v>362</v>
      </c>
      <c r="AL60" s="601" t="s">
        <v>620</v>
      </c>
      <c r="AM60" s="601" t="s">
        <v>643</v>
      </c>
      <c r="AN60" s="705" t="s">
        <v>362</v>
      </c>
      <c r="AO60" s="603" t="s">
        <v>620</v>
      </c>
      <c r="AP60" s="599" t="s">
        <v>643</v>
      </c>
      <c r="AQ60" s="123" t="s">
        <v>362</v>
      </c>
      <c r="AR60" s="698" t="s">
        <v>22</v>
      </c>
      <c r="AS60" s="601" t="s">
        <v>620</v>
      </c>
      <c r="AT60" s="598" t="s">
        <v>643</v>
      </c>
      <c r="AU60" s="185" t="s">
        <v>362</v>
      </c>
      <c r="AV60" s="700" t="s">
        <v>22</v>
      </c>
      <c r="AW60" s="603" t="s">
        <v>620</v>
      </c>
      <c r="AX60" s="718" t="s">
        <v>643</v>
      </c>
      <c r="AY60" s="701" t="s">
        <v>104</v>
      </c>
      <c r="AZ60" s="406">
        <v>44412</v>
      </c>
      <c r="BA60" s="412" t="s">
        <v>192</v>
      </c>
      <c r="BB60" s="398"/>
    </row>
    <row r="61" spans="1:54" ht="39.950000000000003" customHeight="1" x14ac:dyDescent="0.25">
      <c r="A61" s="18">
        <f t="shared" si="1"/>
        <v>49</v>
      </c>
      <c r="B61" s="110">
        <f>'2DEMOGRAPHICS'!B61</f>
        <v>49</v>
      </c>
      <c r="C61" s="111" t="str">
        <f>'2DEMOGRAPHICS'!C61</f>
        <v>aaaaa11111aaaaa</v>
      </c>
      <c r="D61" s="112">
        <f>'2DEMOGRAPHICS'!D61</f>
        <v>44075</v>
      </c>
      <c r="E61" s="113">
        <f>'2DEMOGRAPHICS'!E61</f>
        <v>44076</v>
      </c>
      <c r="F61" s="122" t="s">
        <v>100</v>
      </c>
      <c r="G61" s="96" t="s">
        <v>363</v>
      </c>
      <c r="H61" s="601" t="s">
        <v>617</v>
      </c>
      <c r="I61" s="601" t="s">
        <v>644</v>
      </c>
      <c r="J61" s="705" t="s">
        <v>363</v>
      </c>
      <c r="K61" s="603" t="s">
        <v>617</v>
      </c>
      <c r="L61" s="603" t="s">
        <v>644</v>
      </c>
      <c r="M61" s="708" t="s">
        <v>363</v>
      </c>
      <c r="N61" s="601" t="s">
        <v>617</v>
      </c>
      <c r="O61" s="601" t="s">
        <v>644</v>
      </c>
      <c r="P61" s="705" t="s">
        <v>363</v>
      </c>
      <c r="Q61" s="603" t="s">
        <v>617</v>
      </c>
      <c r="R61" s="603" t="s">
        <v>644</v>
      </c>
      <c r="S61" s="708" t="s">
        <v>363</v>
      </c>
      <c r="T61" s="601" t="s">
        <v>617</v>
      </c>
      <c r="U61" s="601" t="s">
        <v>644</v>
      </c>
      <c r="V61" s="705" t="s">
        <v>363</v>
      </c>
      <c r="W61" s="603" t="s">
        <v>617</v>
      </c>
      <c r="X61" s="603" t="s">
        <v>644</v>
      </c>
      <c r="Y61" s="708" t="s">
        <v>363</v>
      </c>
      <c r="Z61" s="601" t="s">
        <v>617</v>
      </c>
      <c r="AA61" s="601" t="s">
        <v>644</v>
      </c>
      <c r="AB61" s="705" t="s">
        <v>363</v>
      </c>
      <c r="AC61" s="603" t="s">
        <v>617</v>
      </c>
      <c r="AD61" s="603" t="s">
        <v>644</v>
      </c>
      <c r="AE61" s="708" t="s">
        <v>363</v>
      </c>
      <c r="AF61" s="601" t="s">
        <v>617</v>
      </c>
      <c r="AG61" s="601" t="s">
        <v>644</v>
      </c>
      <c r="AH61" s="705" t="s">
        <v>363</v>
      </c>
      <c r="AI61" s="603" t="s">
        <v>617</v>
      </c>
      <c r="AJ61" s="603" t="s">
        <v>644</v>
      </c>
      <c r="AK61" s="715" t="s">
        <v>363</v>
      </c>
      <c r="AL61" s="601" t="s">
        <v>617</v>
      </c>
      <c r="AM61" s="601" t="s">
        <v>644</v>
      </c>
      <c r="AN61" s="705" t="s">
        <v>363</v>
      </c>
      <c r="AO61" s="603" t="s">
        <v>617</v>
      </c>
      <c r="AP61" s="599" t="s">
        <v>644</v>
      </c>
      <c r="AQ61" s="123" t="s">
        <v>363</v>
      </c>
      <c r="AR61" s="698" t="s">
        <v>22</v>
      </c>
      <c r="AS61" s="601" t="s">
        <v>617</v>
      </c>
      <c r="AT61" s="598" t="s">
        <v>644</v>
      </c>
      <c r="AU61" s="185" t="s">
        <v>363</v>
      </c>
      <c r="AV61" s="700" t="s">
        <v>22</v>
      </c>
      <c r="AW61" s="603" t="s">
        <v>617</v>
      </c>
      <c r="AX61" s="718" t="s">
        <v>644</v>
      </c>
      <c r="AY61" s="701" t="s">
        <v>100</v>
      </c>
      <c r="AZ61" s="406">
        <v>44076</v>
      </c>
      <c r="BA61" s="399" t="s">
        <v>522</v>
      </c>
      <c r="BB61" s="398"/>
    </row>
    <row r="62" spans="1:54" ht="39.950000000000003" customHeight="1" x14ac:dyDescent="0.25">
      <c r="A62" s="18">
        <f t="shared" si="1"/>
        <v>50</v>
      </c>
      <c r="B62" s="110">
        <f>'2DEMOGRAPHICS'!B62</f>
        <v>50</v>
      </c>
      <c r="C62" s="111" t="str">
        <f>'2DEMOGRAPHICS'!C62</f>
        <v>aaaaa11111aaaaa</v>
      </c>
      <c r="D62" s="112">
        <f>'2DEMOGRAPHICS'!D62</f>
        <v>44105</v>
      </c>
      <c r="E62" s="113">
        <f>'2DEMOGRAPHICS'!E62</f>
        <v>44139</v>
      </c>
      <c r="F62" s="122" t="s">
        <v>104</v>
      </c>
      <c r="G62" s="96" t="s">
        <v>364</v>
      </c>
      <c r="H62" s="601" t="s">
        <v>618</v>
      </c>
      <c r="I62" s="601" t="s">
        <v>645</v>
      </c>
      <c r="J62" s="705" t="s">
        <v>364</v>
      </c>
      <c r="K62" s="603" t="s">
        <v>618</v>
      </c>
      <c r="L62" s="603" t="s">
        <v>645</v>
      </c>
      <c r="M62" s="708" t="s">
        <v>364</v>
      </c>
      <c r="N62" s="601" t="s">
        <v>618</v>
      </c>
      <c r="O62" s="601" t="s">
        <v>645</v>
      </c>
      <c r="P62" s="705" t="s">
        <v>364</v>
      </c>
      <c r="Q62" s="603" t="s">
        <v>618</v>
      </c>
      <c r="R62" s="603" t="s">
        <v>645</v>
      </c>
      <c r="S62" s="708" t="s">
        <v>364</v>
      </c>
      <c r="T62" s="601" t="s">
        <v>618</v>
      </c>
      <c r="U62" s="601" t="s">
        <v>645</v>
      </c>
      <c r="V62" s="705" t="s">
        <v>364</v>
      </c>
      <c r="W62" s="603" t="s">
        <v>618</v>
      </c>
      <c r="X62" s="603" t="s">
        <v>645</v>
      </c>
      <c r="Y62" s="708" t="s">
        <v>364</v>
      </c>
      <c r="Z62" s="601" t="s">
        <v>618</v>
      </c>
      <c r="AA62" s="601" t="s">
        <v>645</v>
      </c>
      <c r="AB62" s="708" t="s">
        <v>364</v>
      </c>
      <c r="AC62" s="603" t="s">
        <v>618</v>
      </c>
      <c r="AD62" s="603" t="s">
        <v>645</v>
      </c>
      <c r="AE62" s="708" t="s">
        <v>364</v>
      </c>
      <c r="AF62" s="601" t="s">
        <v>618</v>
      </c>
      <c r="AG62" s="601" t="s">
        <v>645</v>
      </c>
      <c r="AH62" s="705" t="s">
        <v>364</v>
      </c>
      <c r="AI62" s="603" t="s">
        <v>618</v>
      </c>
      <c r="AJ62" s="603" t="s">
        <v>645</v>
      </c>
      <c r="AK62" s="715" t="s">
        <v>364</v>
      </c>
      <c r="AL62" s="601" t="s">
        <v>618</v>
      </c>
      <c r="AM62" s="601" t="s">
        <v>645</v>
      </c>
      <c r="AN62" s="705" t="s">
        <v>364</v>
      </c>
      <c r="AO62" s="603" t="s">
        <v>618</v>
      </c>
      <c r="AP62" s="599" t="s">
        <v>645</v>
      </c>
      <c r="AQ62" s="123" t="s">
        <v>364</v>
      </c>
      <c r="AR62" s="698" t="s">
        <v>22</v>
      </c>
      <c r="AS62" s="601" t="s">
        <v>618</v>
      </c>
      <c r="AT62" s="598" t="s">
        <v>645</v>
      </c>
      <c r="AU62" s="123" t="s">
        <v>364</v>
      </c>
      <c r="AV62" s="700" t="s">
        <v>22</v>
      </c>
      <c r="AW62" s="603" t="s">
        <v>618</v>
      </c>
      <c r="AX62" s="718" t="s">
        <v>645</v>
      </c>
      <c r="AY62" s="701" t="s">
        <v>104</v>
      </c>
      <c r="AZ62" s="406">
        <v>44139</v>
      </c>
      <c r="BA62" s="412" t="s">
        <v>520</v>
      </c>
      <c r="BB62" s="398"/>
    </row>
    <row r="63" spans="1:54" x14ac:dyDescent="0.25">
      <c r="A63" s="10"/>
    </row>
    <row r="64" spans="1:54" x14ac:dyDescent="0.25">
      <c r="A64" s="10"/>
    </row>
    <row r="65" spans="1:1" x14ac:dyDescent="0.25">
      <c r="A65" s="10"/>
    </row>
    <row r="66" spans="1:1" x14ac:dyDescent="0.25">
      <c r="A66" s="10"/>
    </row>
    <row r="67" spans="1:1" x14ac:dyDescent="0.25">
      <c r="A67" s="10"/>
    </row>
    <row r="68" spans="1:1" x14ac:dyDescent="0.25">
      <c r="A68" s="10"/>
    </row>
  </sheetData>
  <mergeCells count="39">
    <mergeCell ref="P11:R11"/>
    <mergeCell ref="AE11:AG11"/>
    <mergeCell ref="AH11:AJ11"/>
    <mergeCell ref="AK11:AM11"/>
    <mergeCell ref="AN11:AP11"/>
    <mergeCell ref="Y11:AA11"/>
    <mergeCell ref="AB11:AD11"/>
    <mergeCell ref="P6:U6"/>
    <mergeCell ref="V11:X11"/>
    <mergeCell ref="P7:U7"/>
    <mergeCell ref="A5:AU5"/>
    <mergeCell ref="E6:J6"/>
    <mergeCell ref="A6:D6"/>
    <mergeCell ref="P8:U8"/>
    <mergeCell ref="AQ11:AT11"/>
    <mergeCell ref="AU11:AX11"/>
    <mergeCell ref="A11:F11"/>
    <mergeCell ref="G11:I11"/>
    <mergeCell ref="M11:O11"/>
    <mergeCell ref="S11:U11"/>
    <mergeCell ref="P9:U9"/>
    <mergeCell ref="P10:U10"/>
    <mergeCell ref="J11:L11"/>
    <mergeCell ref="AY11:BB11"/>
    <mergeCell ref="A2:U2"/>
    <mergeCell ref="A3:U3"/>
    <mergeCell ref="A4:U4"/>
    <mergeCell ref="A7:D7"/>
    <mergeCell ref="A10:D10"/>
    <mergeCell ref="A8:D9"/>
    <mergeCell ref="K6:O6"/>
    <mergeCell ref="K7:O7"/>
    <mergeCell ref="K8:O8"/>
    <mergeCell ref="K9:O9"/>
    <mergeCell ref="K10:O10"/>
    <mergeCell ref="E7:J7"/>
    <mergeCell ref="E10:F10"/>
    <mergeCell ref="G10:J10"/>
    <mergeCell ref="E8:J9"/>
  </mergeCells>
  <conditionalFormatting sqref="F13:F16 F19:F22">
    <cfRule type="expression" dxfId="21" priority="257">
      <formula>#REF!="YES"</formula>
    </cfRule>
  </conditionalFormatting>
  <conditionalFormatting sqref="F17:F18">
    <cfRule type="expression" dxfId="20" priority="9">
      <formula>#REF!="YES"</formula>
    </cfRule>
  </conditionalFormatting>
  <conditionalFormatting sqref="F23:F26 F29:F32">
    <cfRule type="expression" dxfId="19" priority="8">
      <formula>#REF!="YES"</formula>
    </cfRule>
  </conditionalFormatting>
  <conditionalFormatting sqref="F27:F28">
    <cfRule type="expression" dxfId="18" priority="7">
      <formula>#REF!="YES"</formula>
    </cfRule>
  </conditionalFormatting>
  <conditionalFormatting sqref="F33:F62">
    <cfRule type="expression" dxfId="17" priority="1">
      <formula>#REF!="YES"</formula>
    </cfRule>
  </conditionalFormatting>
  <dataValidations count="5">
    <dataValidation allowBlank="1" showInputMessage="1" showErrorMessage="1" prompt="date will auto populate" sqref="D13:E62" xr:uid="{1847097A-807C-4499-932D-7CDE83CEAFAF}"/>
    <dataValidation allowBlank="1" showInputMessage="1" showErrorMessage="1" prompt="data will auto populate" sqref="B13:C62" xr:uid="{E86B4121-982D-43EA-848A-31C2328A7C35}"/>
    <dataValidation allowBlank="1" showInputMessage="1" showErrorMessage="1" prompt="Note Section for Column S " sqref="AR13:AR62" xr:uid="{B73C2DD3-12B1-4172-93F2-65D9B3B21DF9}"/>
    <dataValidation allowBlank="1" showInputMessage="1" showErrorMessage="1" prompt="Note Column For Column U " sqref="AV13:AV62" xr:uid="{9DC1AC5F-036F-4157-8398-D72FEC330643}"/>
    <dataValidation allowBlank="1" showInputMessage="1" showErrorMessage="1" prompt="Use MM/DD/YYYY format (00/00/0000). Leave blank until the date is needed. " sqref="AZ13:AZ62" xr:uid="{A7172512-1C4C-47EB-9FE1-B780A5948F8A}"/>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8E11B24B-7BB1-4107-A75B-DD968C7AB679}">
          <x14:formula1>
            <xm:f>'Pick List '!$N$89:$N$91</xm:f>
          </x14:formula1>
          <xm:sqref>AU13:AU62 G13:G62 AE13:AE62 M13:M62 S13:S62 Y13:Y62 J13:J62 P13:P62 V13:V62 AB13:AB62 AH13:AH62 AK13:AK62 AN13:AN62 AQ13:AQ62</xm:sqref>
        </x14:dataValidation>
        <x14:dataValidation type="list" allowBlank="1" showInputMessage="1" showErrorMessage="1" xr:uid="{0552B4AE-A889-4E03-96FA-6027BF4F8D2B}">
          <x14:formula1>
            <xm:f>'Pick List '!$G$15:$G$16</xm:f>
          </x14:formula1>
          <xm:sqref>F13:F62 AY13:AY62</xm:sqref>
        </x14:dataValidation>
        <x14:dataValidation type="list" allowBlank="1" showInputMessage="1" showErrorMessage="1" xr:uid="{E7A3FE1E-C530-4586-90BB-3DF00D8D922F}">
          <x14:formula1>
            <xm:f>'Pick List '!$R$89:$R$92</xm:f>
          </x14:formula1>
          <xm:sqref>BA13:BA62</xm:sqref>
        </x14:dataValidation>
        <x14:dataValidation type="list" allowBlank="1" showInputMessage="1" showErrorMessage="1" xr:uid="{4BA0EC7D-B58E-456C-9E1F-ADE14E0FBC25}">
          <x14:formula1>
            <xm:f>'Pick List '!$P$123:$P$126</xm:f>
          </x14:formula1>
          <xm:sqref>H13:H62 AC13:AC62 N13:N62 W13:W62 T13:T62 K13:K62 Q13:Q62 Z13:Z62 AF13:AF62 AI13:AI62 AL13:AL62 AO13:AO62 AS13:AS62 AW13:AW62</xm:sqref>
        </x14:dataValidation>
        <x14:dataValidation type="list" allowBlank="1" showInputMessage="1" showErrorMessage="1" xr:uid="{5DBC6FC7-CCFC-4C3A-9E79-ED4A6C61E16D}">
          <x14:formula1>
            <xm:f>'Pick List '!$P$130:$P$134</xm:f>
          </x14:formula1>
          <xm:sqref>I13:I62 L13:L62 O13:O62 U13:U62 R13:R62 X13:X62 AA13:AA62 AD13:AD62 AJ13:AJ62 AG13:AG62 AM13:AM62 AP13:AP62 AT13:AT62 AX13:AX62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722BD-6B80-4C2A-A38C-5F7DCFBA4CBF}">
  <sheetPr>
    <tabColor theme="1" tint="4.9989318521683403E-2"/>
  </sheetPr>
  <dimension ref="A10:H62"/>
  <sheetViews>
    <sheetView workbookViewId="0">
      <selection activeCell="F12" sqref="F12"/>
    </sheetView>
  </sheetViews>
  <sheetFormatPr defaultRowHeight="15" x14ac:dyDescent="0.25"/>
  <cols>
    <col min="1" max="8" width="10.7109375" customWidth="1"/>
  </cols>
  <sheetData>
    <row r="10" spans="1:8" ht="15.75" thickBot="1" x14ac:dyDescent="0.3"/>
    <row r="11" spans="1:8" ht="35.1" customHeight="1" thickTop="1" thickBot="1" x14ac:dyDescent="0.3">
      <c r="A11" s="1226"/>
      <c r="B11" s="1227"/>
      <c r="C11" s="1227"/>
      <c r="D11" s="1227"/>
      <c r="E11" s="1228"/>
      <c r="F11" s="1223" t="s">
        <v>538</v>
      </c>
      <c r="G11" s="1224"/>
      <c r="H11" s="1225"/>
    </row>
    <row r="12" spans="1:8" ht="113.25" thickTop="1" x14ac:dyDescent="0.25">
      <c r="A12" s="11" t="s">
        <v>245</v>
      </c>
      <c r="B12" s="50" t="s">
        <v>334</v>
      </c>
      <c r="C12" s="51" t="s">
        <v>335</v>
      </c>
      <c r="D12" s="50" t="s">
        <v>542</v>
      </c>
      <c r="E12" s="51" t="s">
        <v>543</v>
      </c>
      <c r="F12" s="428" t="s">
        <v>539</v>
      </c>
      <c r="G12" s="429" t="s">
        <v>540</v>
      </c>
      <c r="H12" s="430" t="s">
        <v>541</v>
      </c>
    </row>
    <row r="13" spans="1:8" ht="25.5" x14ac:dyDescent="0.25">
      <c r="A13" s="19">
        <f>ROW(A1)</f>
        <v>1</v>
      </c>
      <c r="B13" s="92">
        <v>1</v>
      </c>
      <c r="C13" s="53" t="s">
        <v>333</v>
      </c>
      <c r="D13" s="75">
        <v>44075</v>
      </c>
      <c r="E13" s="391">
        <v>44077</v>
      </c>
      <c r="F13" s="431"/>
      <c r="G13" s="432"/>
      <c r="H13" s="433"/>
    </row>
    <row r="14" spans="1:8" ht="25.5" x14ac:dyDescent="0.25">
      <c r="A14" s="19">
        <f t="shared" ref="A14:A62" si="0">ROW(A2)</f>
        <v>2</v>
      </c>
      <c r="B14" s="92">
        <v>2</v>
      </c>
      <c r="C14" s="49" t="s">
        <v>333</v>
      </c>
      <c r="D14" s="75">
        <v>44105</v>
      </c>
      <c r="E14" s="391">
        <v>44107</v>
      </c>
      <c r="F14" s="431"/>
      <c r="G14" s="432"/>
      <c r="H14" s="433"/>
    </row>
    <row r="15" spans="1:8" ht="25.5" x14ac:dyDescent="0.25">
      <c r="A15" s="19">
        <f t="shared" si="0"/>
        <v>3</v>
      </c>
      <c r="B15" s="92">
        <v>3</v>
      </c>
      <c r="C15" s="49" t="s">
        <v>333</v>
      </c>
      <c r="D15" s="75">
        <v>44136</v>
      </c>
      <c r="E15" s="391">
        <v>44137</v>
      </c>
      <c r="F15" s="431"/>
      <c r="G15" s="432"/>
      <c r="H15" s="433"/>
    </row>
    <row r="16" spans="1:8" ht="25.5" x14ac:dyDescent="0.25">
      <c r="A16" s="19">
        <f t="shared" si="0"/>
        <v>4</v>
      </c>
      <c r="B16" s="92">
        <v>4</v>
      </c>
      <c r="C16" s="49" t="s">
        <v>333</v>
      </c>
      <c r="D16" s="75">
        <v>44166</v>
      </c>
      <c r="E16" s="391">
        <v>44170</v>
      </c>
      <c r="F16" s="431"/>
      <c r="G16" s="432"/>
      <c r="H16" s="433"/>
    </row>
    <row r="17" spans="1:8" ht="25.5" x14ac:dyDescent="0.25">
      <c r="A17" s="19">
        <f t="shared" si="0"/>
        <v>5</v>
      </c>
      <c r="B17" s="92">
        <v>5</v>
      </c>
      <c r="C17" s="49" t="s">
        <v>333</v>
      </c>
      <c r="D17" s="75">
        <v>44197</v>
      </c>
      <c r="E17" s="391">
        <v>44201</v>
      </c>
      <c r="F17" s="431"/>
      <c r="G17" s="432"/>
      <c r="H17" s="433"/>
    </row>
    <row r="18" spans="1:8" ht="25.5" x14ac:dyDescent="0.25">
      <c r="A18" s="19">
        <f t="shared" si="0"/>
        <v>6</v>
      </c>
      <c r="B18" s="92">
        <v>6</v>
      </c>
      <c r="C18" s="49" t="s">
        <v>333</v>
      </c>
      <c r="D18" s="75">
        <v>44228</v>
      </c>
      <c r="E18" s="391">
        <v>44230</v>
      </c>
      <c r="F18" s="431"/>
      <c r="G18" s="432"/>
      <c r="H18" s="433"/>
    </row>
    <row r="19" spans="1:8" ht="25.5" x14ac:dyDescent="0.25">
      <c r="A19" s="19">
        <f t="shared" si="0"/>
        <v>7</v>
      </c>
      <c r="B19" s="92">
        <v>7</v>
      </c>
      <c r="C19" s="49" t="s">
        <v>333</v>
      </c>
      <c r="D19" s="75">
        <v>44256</v>
      </c>
      <c r="E19" s="391">
        <v>44259</v>
      </c>
      <c r="F19" s="431"/>
      <c r="G19" s="432"/>
      <c r="H19" s="433"/>
    </row>
    <row r="20" spans="1:8" ht="25.5" x14ac:dyDescent="0.25">
      <c r="A20" s="19">
        <f t="shared" si="0"/>
        <v>8</v>
      </c>
      <c r="B20" s="92">
        <v>8</v>
      </c>
      <c r="C20" s="49" t="s">
        <v>333</v>
      </c>
      <c r="D20" s="75">
        <v>44287</v>
      </c>
      <c r="E20" s="391">
        <v>44291</v>
      </c>
      <c r="F20" s="431"/>
      <c r="G20" s="432"/>
      <c r="H20" s="433"/>
    </row>
    <row r="21" spans="1:8" ht="25.5" x14ac:dyDescent="0.25">
      <c r="A21" s="19">
        <f t="shared" si="0"/>
        <v>9</v>
      </c>
      <c r="B21" s="92">
        <v>9</v>
      </c>
      <c r="C21" s="49" t="s">
        <v>333</v>
      </c>
      <c r="D21" s="75">
        <v>44317</v>
      </c>
      <c r="E21" s="391">
        <v>44319</v>
      </c>
      <c r="F21" s="431"/>
      <c r="G21" s="432"/>
      <c r="H21" s="433"/>
    </row>
    <row r="22" spans="1:8" ht="25.5" x14ac:dyDescent="0.25">
      <c r="A22" s="19">
        <f t="shared" si="0"/>
        <v>10</v>
      </c>
      <c r="B22" s="92">
        <v>10</v>
      </c>
      <c r="C22" s="49" t="s">
        <v>333</v>
      </c>
      <c r="D22" s="75">
        <v>44348</v>
      </c>
      <c r="E22" s="391">
        <v>44351</v>
      </c>
      <c r="F22" s="431"/>
      <c r="G22" s="432"/>
      <c r="H22" s="433"/>
    </row>
    <row r="23" spans="1:8" ht="25.5" x14ac:dyDescent="0.25">
      <c r="A23" s="19">
        <f t="shared" si="0"/>
        <v>11</v>
      </c>
      <c r="B23" s="92">
        <v>11</v>
      </c>
      <c r="C23" s="53" t="s">
        <v>333</v>
      </c>
      <c r="D23" s="75">
        <v>44378</v>
      </c>
      <c r="E23" s="391">
        <v>44379</v>
      </c>
      <c r="F23" s="431"/>
      <c r="G23" s="432"/>
      <c r="H23" s="433"/>
    </row>
    <row r="24" spans="1:8" ht="25.5" x14ac:dyDescent="0.25">
      <c r="A24" s="19">
        <f t="shared" si="0"/>
        <v>12</v>
      </c>
      <c r="B24" s="92">
        <v>12</v>
      </c>
      <c r="C24" s="49" t="s">
        <v>333</v>
      </c>
      <c r="D24" s="75">
        <v>44409</v>
      </c>
      <c r="E24" s="391">
        <v>44412</v>
      </c>
      <c r="F24" s="431"/>
      <c r="G24" s="432"/>
      <c r="H24" s="433"/>
    </row>
    <row r="25" spans="1:8" ht="25.5" x14ac:dyDescent="0.25">
      <c r="A25" s="19">
        <f t="shared" si="0"/>
        <v>13</v>
      </c>
      <c r="B25" s="92">
        <v>13</v>
      </c>
      <c r="C25" s="49" t="s">
        <v>333</v>
      </c>
      <c r="D25" s="75">
        <v>44075</v>
      </c>
      <c r="E25" s="391">
        <v>44077</v>
      </c>
      <c r="F25" s="431"/>
      <c r="G25" s="432"/>
      <c r="H25" s="433"/>
    </row>
    <row r="26" spans="1:8" ht="25.5" x14ac:dyDescent="0.25">
      <c r="A26" s="19">
        <f t="shared" si="0"/>
        <v>14</v>
      </c>
      <c r="B26" s="92">
        <v>14</v>
      </c>
      <c r="C26" s="49" t="s">
        <v>333</v>
      </c>
      <c r="D26" s="75">
        <v>44105</v>
      </c>
      <c r="E26" s="391">
        <v>44077</v>
      </c>
      <c r="F26" s="431"/>
      <c r="G26" s="432"/>
      <c r="H26" s="433"/>
    </row>
    <row r="27" spans="1:8" ht="25.5" x14ac:dyDescent="0.25">
      <c r="A27" s="19">
        <f t="shared" si="0"/>
        <v>15</v>
      </c>
      <c r="B27" s="92">
        <v>15</v>
      </c>
      <c r="C27" s="49" t="s">
        <v>333</v>
      </c>
      <c r="D27" s="75">
        <v>44136</v>
      </c>
      <c r="E27" s="391">
        <v>44137</v>
      </c>
      <c r="F27" s="431"/>
      <c r="G27" s="432"/>
      <c r="H27" s="433"/>
    </row>
    <row r="28" spans="1:8" ht="25.5" x14ac:dyDescent="0.25">
      <c r="A28" s="19">
        <f t="shared" si="0"/>
        <v>16</v>
      </c>
      <c r="B28" s="92">
        <v>16</v>
      </c>
      <c r="C28" s="49" t="s">
        <v>333</v>
      </c>
      <c r="D28" s="75">
        <v>44166</v>
      </c>
      <c r="E28" s="391">
        <v>44170</v>
      </c>
      <c r="F28" s="431"/>
      <c r="G28" s="432"/>
      <c r="H28" s="433"/>
    </row>
    <row r="29" spans="1:8" ht="25.5" x14ac:dyDescent="0.25">
      <c r="A29" s="19">
        <f t="shared" si="0"/>
        <v>17</v>
      </c>
      <c r="B29" s="92">
        <v>17</v>
      </c>
      <c r="C29" s="49" t="s">
        <v>333</v>
      </c>
      <c r="D29" s="75">
        <v>44197</v>
      </c>
      <c r="E29" s="391">
        <v>44201</v>
      </c>
      <c r="F29" s="431"/>
      <c r="G29" s="432"/>
      <c r="H29" s="433"/>
    </row>
    <row r="30" spans="1:8" ht="25.5" x14ac:dyDescent="0.25">
      <c r="A30" s="19">
        <f t="shared" si="0"/>
        <v>18</v>
      </c>
      <c r="B30" s="92">
        <v>18</v>
      </c>
      <c r="C30" s="49" t="s">
        <v>333</v>
      </c>
      <c r="D30" s="75">
        <v>44228</v>
      </c>
      <c r="E30" s="391">
        <v>44230</v>
      </c>
      <c r="F30" s="431"/>
      <c r="G30" s="432"/>
      <c r="H30" s="433"/>
    </row>
    <row r="31" spans="1:8" ht="25.5" x14ac:dyDescent="0.25">
      <c r="A31" s="19">
        <f t="shared" si="0"/>
        <v>19</v>
      </c>
      <c r="B31" s="92">
        <v>19</v>
      </c>
      <c r="C31" s="49" t="s">
        <v>333</v>
      </c>
      <c r="D31" s="75">
        <v>44256</v>
      </c>
      <c r="E31" s="391">
        <v>44259</v>
      </c>
      <c r="F31" s="431"/>
      <c r="G31" s="432"/>
      <c r="H31" s="433"/>
    </row>
    <row r="32" spans="1:8" ht="25.5" x14ac:dyDescent="0.25">
      <c r="A32" s="19">
        <f t="shared" si="0"/>
        <v>20</v>
      </c>
      <c r="B32" s="92">
        <v>20</v>
      </c>
      <c r="C32" s="49" t="s">
        <v>333</v>
      </c>
      <c r="D32" s="75">
        <v>44287</v>
      </c>
      <c r="E32" s="391">
        <v>44291</v>
      </c>
      <c r="F32" s="431"/>
      <c r="G32" s="432"/>
      <c r="H32" s="433"/>
    </row>
    <row r="33" spans="1:8" ht="25.5" x14ac:dyDescent="0.25">
      <c r="A33" s="19">
        <f t="shared" si="0"/>
        <v>21</v>
      </c>
      <c r="B33" s="92">
        <v>21</v>
      </c>
      <c r="C33" s="53" t="s">
        <v>333</v>
      </c>
      <c r="D33" s="75">
        <v>44317</v>
      </c>
      <c r="E33" s="391">
        <v>44319</v>
      </c>
      <c r="F33" s="431"/>
      <c r="G33" s="432"/>
      <c r="H33" s="433"/>
    </row>
    <row r="34" spans="1:8" ht="25.5" x14ac:dyDescent="0.25">
      <c r="A34" s="19">
        <f t="shared" si="0"/>
        <v>22</v>
      </c>
      <c r="B34" s="92">
        <v>22</v>
      </c>
      <c r="C34" s="49" t="s">
        <v>333</v>
      </c>
      <c r="D34" s="75">
        <v>44348</v>
      </c>
      <c r="E34" s="391">
        <v>44351</v>
      </c>
      <c r="F34" s="431"/>
      <c r="G34" s="432"/>
      <c r="H34" s="433"/>
    </row>
    <row r="35" spans="1:8" ht="25.5" x14ac:dyDescent="0.25">
      <c r="A35" s="19">
        <f t="shared" si="0"/>
        <v>23</v>
      </c>
      <c r="B35" s="92">
        <v>23</v>
      </c>
      <c r="C35" s="49" t="s">
        <v>333</v>
      </c>
      <c r="D35" s="75">
        <v>44378</v>
      </c>
      <c r="E35" s="391">
        <v>44379</v>
      </c>
      <c r="F35" s="431"/>
      <c r="G35" s="432"/>
      <c r="H35" s="433"/>
    </row>
    <row r="36" spans="1:8" ht="25.5" x14ac:dyDescent="0.25">
      <c r="A36" s="19">
        <f t="shared" si="0"/>
        <v>24</v>
      </c>
      <c r="B36" s="92">
        <v>24</v>
      </c>
      <c r="C36" s="49" t="s">
        <v>333</v>
      </c>
      <c r="D36" s="75">
        <v>44409</v>
      </c>
      <c r="E36" s="391">
        <v>44412</v>
      </c>
      <c r="F36" s="431"/>
      <c r="G36" s="432"/>
      <c r="H36" s="433"/>
    </row>
    <row r="37" spans="1:8" ht="25.5" x14ac:dyDescent="0.25">
      <c r="A37" s="19">
        <f t="shared" si="0"/>
        <v>25</v>
      </c>
      <c r="B37" s="92">
        <v>25</v>
      </c>
      <c r="C37" s="49" t="s">
        <v>333</v>
      </c>
      <c r="D37" s="75">
        <v>44075</v>
      </c>
      <c r="E37" s="391">
        <v>44077</v>
      </c>
      <c r="F37" s="431"/>
      <c r="G37" s="432"/>
      <c r="H37" s="433"/>
    </row>
    <row r="38" spans="1:8" ht="25.5" x14ac:dyDescent="0.25">
      <c r="A38" s="19">
        <f t="shared" si="0"/>
        <v>26</v>
      </c>
      <c r="B38" s="92">
        <v>26</v>
      </c>
      <c r="C38" s="49" t="s">
        <v>333</v>
      </c>
      <c r="D38" s="75">
        <v>44105</v>
      </c>
      <c r="E38" s="391">
        <v>44077</v>
      </c>
      <c r="F38" s="431"/>
      <c r="G38" s="432"/>
      <c r="H38" s="433"/>
    </row>
    <row r="39" spans="1:8" ht="25.5" x14ac:dyDescent="0.25">
      <c r="A39" s="19">
        <f t="shared" si="0"/>
        <v>27</v>
      </c>
      <c r="B39" s="92">
        <v>27</v>
      </c>
      <c r="C39" s="49" t="s">
        <v>333</v>
      </c>
      <c r="D39" s="75">
        <v>44136</v>
      </c>
      <c r="E39" s="391">
        <v>44137</v>
      </c>
      <c r="F39" s="431"/>
      <c r="G39" s="432"/>
      <c r="H39" s="433"/>
    </row>
    <row r="40" spans="1:8" ht="25.5" x14ac:dyDescent="0.25">
      <c r="A40" s="19">
        <f t="shared" si="0"/>
        <v>28</v>
      </c>
      <c r="B40" s="92">
        <v>28</v>
      </c>
      <c r="C40" s="49" t="s">
        <v>333</v>
      </c>
      <c r="D40" s="75">
        <v>44166</v>
      </c>
      <c r="E40" s="391">
        <v>44170</v>
      </c>
      <c r="F40" s="431"/>
      <c r="G40" s="432"/>
      <c r="H40" s="433"/>
    </row>
    <row r="41" spans="1:8" ht="25.5" x14ac:dyDescent="0.25">
      <c r="A41" s="19">
        <f t="shared" si="0"/>
        <v>29</v>
      </c>
      <c r="B41" s="92">
        <v>29</v>
      </c>
      <c r="C41" s="49" t="s">
        <v>333</v>
      </c>
      <c r="D41" s="75">
        <v>44197</v>
      </c>
      <c r="E41" s="391">
        <v>44201</v>
      </c>
      <c r="F41" s="431"/>
      <c r="G41" s="432"/>
      <c r="H41" s="433"/>
    </row>
    <row r="42" spans="1:8" ht="25.5" x14ac:dyDescent="0.25">
      <c r="A42" s="19">
        <f t="shared" si="0"/>
        <v>30</v>
      </c>
      <c r="B42" s="92">
        <v>30</v>
      </c>
      <c r="C42" s="49" t="s">
        <v>333</v>
      </c>
      <c r="D42" s="75">
        <v>44228</v>
      </c>
      <c r="E42" s="391">
        <v>44230</v>
      </c>
      <c r="F42" s="431"/>
      <c r="G42" s="432"/>
      <c r="H42" s="433"/>
    </row>
    <row r="43" spans="1:8" ht="25.5" x14ac:dyDescent="0.25">
      <c r="A43" s="19">
        <f t="shared" si="0"/>
        <v>31</v>
      </c>
      <c r="B43" s="92">
        <v>31</v>
      </c>
      <c r="C43" s="53" t="s">
        <v>333</v>
      </c>
      <c r="D43" s="75">
        <v>44256</v>
      </c>
      <c r="E43" s="391">
        <v>44259</v>
      </c>
      <c r="F43" s="431"/>
      <c r="G43" s="432"/>
      <c r="H43" s="433"/>
    </row>
    <row r="44" spans="1:8" ht="25.5" x14ac:dyDescent="0.25">
      <c r="A44" s="19">
        <f t="shared" si="0"/>
        <v>32</v>
      </c>
      <c r="B44" s="92">
        <v>32</v>
      </c>
      <c r="C44" s="49" t="s">
        <v>333</v>
      </c>
      <c r="D44" s="75">
        <v>44287</v>
      </c>
      <c r="E44" s="391">
        <v>44291</v>
      </c>
      <c r="F44" s="431"/>
      <c r="G44" s="432"/>
      <c r="H44" s="433"/>
    </row>
    <row r="45" spans="1:8" ht="25.5" x14ac:dyDescent="0.25">
      <c r="A45" s="19">
        <f t="shared" si="0"/>
        <v>33</v>
      </c>
      <c r="B45" s="92">
        <v>33</v>
      </c>
      <c r="C45" s="49" t="s">
        <v>333</v>
      </c>
      <c r="D45" s="75">
        <v>44317</v>
      </c>
      <c r="E45" s="391">
        <v>44319</v>
      </c>
      <c r="F45" s="431"/>
      <c r="G45" s="432"/>
      <c r="H45" s="433"/>
    </row>
    <row r="46" spans="1:8" ht="25.5" x14ac:dyDescent="0.25">
      <c r="A46" s="19">
        <f t="shared" si="0"/>
        <v>34</v>
      </c>
      <c r="B46" s="92">
        <v>34</v>
      </c>
      <c r="C46" s="49" t="s">
        <v>333</v>
      </c>
      <c r="D46" s="75">
        <v>44348</v>
      </c>
      <c r="E46" s="391">
        <v>44351</v>
      </c>
      <c r="F46" s="431"/>
      <c r="G46" s="432"/>
      <c r="H46" s="433"/>
    </row>
    <row r="47" spans="1:8" ht="25.5" x14ac:dyDescent="0.25">
      <c r="A47" s="19">
        <f t="shared" si="0"/>
        <v>35</v>
      </c>
      <c r="B47" s="92">
        <v>35</v>
      </c>
      <c r="C47" s="49" t="s">
        <v>333</v>
      </c>
      <c r="D47" s="75">
        <v>44378</v>
      </c>
      <c r="E47" s="391">
        <v>44379</v>
      </c>
      <c r="F47" s="431"/>
      <c r="G47" s="432"/>
      <c r="H47" s="433"/>
    </row>
    <row r="48" spans="1:8" ht="25.5" x14ac:dyDescent="0.25">
      <c r="A48" s="19">
        <f t="shared" si="0"/>
        <v>36</v>
      </c>
      <c r="B48" s="92">
        <v>36</v>
      </c>
      <c r="C48" s="49" t="s">
        <v>333</v>
      </c>
      <c r="D48" s="75">
        <v>44409</v>
      </c>
      <c r="E48" s="391">
        <v>44412</v>
      </c>
      <c r="F48" s="431"/>
      <c r="G48" s="432"/>
      <c r="H48" s="433"/>
    </row>
    <row r="49" spans="1:8" ht="25.5" x14ac:dyDescent="0.25">
      <c r="A49" s="19">
        <f t="shared" si="0"/>
        <v>37</v>
      </c>
      <c r="B49" s="92">
        <v>37</v>
      </c>
      <c r="C49" s="49" t="s">
        <v>333</v>
      </c>
      <c r="D49" s="75">
        <v>44075</v>
      </c>
      <c r="E49" s="391">
        <v>44077</v>
      </c>
      <c r="F49" s="431"/>
      <c r="G49" s="432"/>
      <c r="H49" s="433"/>
    </row>
    <row r="50" spans="1:8" ht="25.5" x14ac:dyDescent="0.25">
      <c r="A50" s="19">
        <f t="shared" si="0"/>
        <v>38</v>
      </c>
      <c r="B50" s="92">
        <v>38</v>
      </c>
      <c r="C50" s="49" t="s">
        <v>333</v>
      </c>
      <c r="D50" s="75">
        <v>44105</v>
      </c>
      <c r="E50" s="391">
        <v>44077</v>
      </c>
      <c r="F50" s="431"/>
      <c r="G50" s="432"/>
      <c r="H50" s="433"/>
    </row>
    <row r="51" spans="1:8" ht="25.5" x14ac:dyDescent="0.25">
      <c r="A51" s="19">
        <f t="shared" si="0"/>
        <v>39</v>
      </c>
      <c r="B51" s="92">
        <v>39</v>
      </c>
      <c r="C51" s="49" t="s">
        <v>333</v>
      </c>
      <c r="D51" s="75">
        <v>44136</v>
      </c>
      <c r="E51" s="391">
        <v>44137</v>
      </c>
      <c r="F51" s="431"/>
      <c r="G51" s="432"/>
      <c r="H51" s="433"/>
    </row>
    <row r="52" spans="1:8" ht="25.5" x14ac:dyDescent="0.25">
      <c r="A52" s="19">
        <f t="shared" si="0"/>
        <v>40</v>
      </c>
      <c r="B52" s="92">
        <v>40</v>
      </c>
      <c r="C52" s="49" t="s">
        <v>333</v>
      </c>
      <c r="D52" s="75">
        <v>44166</v>
      </c>
      <c r="E52" s="391">
        <v>44170</v>
      </c>
      <c r="F52" s="431"/>
      <c r="G52" s="432"/>
      <c r="H52" s="433"/>
    </row>
    <row r="53" spans="1:8" ht="25.5" x14ac:dyDescent="0.25">
      <c r="A53" s="19">
        <f t="shared" si="0"/>
        <v>41</v>
      </c>
      <c r="B53" s="92">
        <v>41</v>
      </c>
      <c r="C53" s="53" t="s">
        <v>333</v>
      </c>
      <c r="D53" s="75">
        <v>44197</v>
      </c>
      <c r="E53" s="391">
        <v>44201</v>
      </c>
      <c r="F53" s="431"/>
      <c r="G53" s="432"/>
      <c r="H53" s="433"/>
    </row>
    <row r="54" spans="1:8" ht="25.5" x14ac:dyDescent="0.25">
      <c r="A54" s="19">
        <f t="shared" si="0"/>
        <v>42</v>
      </c>
      <c r="B54" s="92">
        <v>42</v>
      </c>
      <c r="C54" s="49" t="s">
        <v>333</v>
      </c>
      <c r="D54" s="75">
        <v>44228</v>
      </c>
      <c r="E54" s="391">
        <v>44230</v>
      </c>
      <c r="F54" s="431"/>
      <c r="G54" s="432"/>
      <c r="H54" s="433"/>
    </row>
    <row r="55" spans="1:8" ht="25.5" x14ac:dyDescent="0.25">
      <c r="A55" s="19">
        <f t="shared" si="0"/>
        <v>43</v>
      </c>
      <c r="B55" s="92">
        <v>43</v>
      </c>
      <c r="C55" s="49" t="s">
        <v>333</v>
      </c>
      <c r="D55" s="75">
        <v>44256</v>
      </c>
      <c r="E55" s="391">
        <v>44259</v>
      </c>
      <c r="F55" s="431"/>
      <c r="G55" s="432"/>
      <c r="H55" s="433"/>
    </row>
    <row r="56" spans="1:8" ht="25.5" x14ac:dyDescent="0.25">
      <c r="A56" s="19">
        <f t="shared" si="0"/>
        <v>44</v>
      </c>
      <c r="B56" s="92">
        <v>44</v>
      </c>
      <c r="C56" s="49" t="s">
        <v>333</v>
      </c>
      <c r="D56" s="75">
        <v>44287</v>
      </c>
      <c r="E56" s="391">
        <v>44291</v>
      </c>
      <c r="F56" s="431"/>
      <c r="G56" s="432"/>
      <c r="H56" s="433"/>
    </row>
    <row r="57" spans="1:8" ht="25.5" x14ac:dyDescent="0.25">
      <c r="A57" s="19">
        <f t="shared" si="0"/>
        <v>45</v>
      </c>
      <c r="B57" s="92">
        <v>45</v>
      </c>
      <c r="C57" s="49" t="s">
        <v>333</v>
      </c>
      <c r="D57" s="75">
        <v>44317</v>
      </c>
      <c r="E57" s="391">
        <v>44319</v>
      </c>
      <c r="F57" s="431"/>
      <c r="G57" s="432"/>
      <c r="H57" s="433"/>
    </row>
    <row r="58" spans="1:8" ht="25.5" x14ac:dyDescent="0.25">
      <c r="A58" s="19">
        <f t="shared" si="0"/>
        <v>46</v>
      </c>
      <c r="B58" s="92">
        <v>46</v>
      </c>
      <c r="C58" s="49" t="s">
        <v>333</v>
      </c>
      <c r="D58" s="75">
        <v>44348</v>
      </c>
      <c r="E58" s="391">
        <v>44351</v>
      </c>
      <c r="F58" s="431"/>
      <c r="G58" s="432"/>
      <c r="H58" s="433"/>
    </row>
    <row r="59" spans="1:8" ht="25.5" x14ac:dyDescent="0.25">
      <c r="A59" s="19">
        <f t="shared" si="0"/>
        <v>47</v>
      </c>
      <c r="B59" s="92">
        <v>47</v>
      </c>
      <c r="C59" s="49" t="s">
        <v>333</v>
      </c>
      <c r="D59" s="75">
        <v>44378</v>
      </c>
      <c r="E59" s="391">
        <v>44379</v>
      </c>
      <c r="F59" s="431"/>
      <c r="G59" s="432"/>
      <c r="H59" s="433"/>
    </row>
    <row r="60" spans="1:8" ht="25.5" x14ac:dyDescent="0.25">
      <c r="A60" s="19">
        <f t="shared" si="0"/>
        <v>48</v>
      </c>
      <c r="B60" s="92">
        <v>48</v>
      </c>
      <c r="C60" s="49" t="s">
        <v>333</v>
      </c>
      <c r="D60" s="75">
        <v>44409</v>
      </c>
      <c r="E60" s="391">
        <v>44412</v>
      </c>
      <c r="F60" s="431"/>
      <c r="G60" s="432"/>
      <c r="H60" s="433"/>
    </row>
    <row r="61" spans="1:8" ht="25.5" x14ac:dyDescent="0.25">
      <c r="A61" s="19">
        <f t="shared" si="0"/>
        <v>49</v>
      </c>
      <c r="B61" s="92">
        <v>49</v>
      </c>
      <c r="C61" s="49" t="s">
        <v>333</v>
      </c>
      <c r="D61" s="75">
        <v>44075</v>
      </c>
      <c r="E61" s="391">
        <v>44076</v>
      </c>
      <c r="F61" s="431"/>
      <c r="G61" s="432"/>
      <c r="H61" s="433"/>
    </row>
    <row r="62" spans="1:8" ht="25.5" x14ac:dyDescent="0.25">
      <c r="A62" s="19">
        <f t="shared" si="0"/>
        <v>50</v>
      </c>
      <c r="B62" s="92">
        <v>50</v>
      </c>
      <c r="C62" s="49" t="s">
        <v>333</v>
      </c>
      <c r="D62" s="75">
        <v>44105</v>
      </c>
      <c r="E62" s="391">
        <v>44139</v>
      </c>
      <c r="F62" s="431"/>
      <c r="G62" s="432"/>
      <c r="H62" s="433"/>
    </row>
  </sheetData>
  <mergeCells count="2">
    <mergeCell ref="F11:H11"/>
    <mergeCell ref="A11:E11"/>
  </mergeCells>
  <conditionalFormatting sqref="F13:H62">
    <cfRule type="expression" dxfId="16" priority="1">
      <formula>$Z13="YES"</formula>
    </cfRule>
    <cfRule type="expression" dxfId="15" priority="2">
      <formula>$AM13="YES"</formula>
    </cfRule>
  </conditionalFormatting>
  <dataValidations count="6">
    <dataValidation allowBlank="1" showInputMessage="1" showErrorMessage="1" prompt="Initials need to match those listed in 1BASE GRANTEE INFO AND UNPDATES tab" sqref="F13:F62" xr:uid="{024EF3C2-834E-433F-9A0F-1AE45CA76014}"/>
    <dataValidation type="date" allowBlank="1" showInputMessage="1" showErrorMessage="1" prompt="Use Month/Day/Year; If date is not applicable leave blank" sqref="G13:G62" xr:uid="{95091717-A5BD-49D1-AE3E-889A4462C234}">
      <formula1>43709</formula1>
      <formula2>45930</formula2>
    </dataValidation>
    <dataValidation type="date" allowBlank="1" showInputMessage="1" showErrorMessage="1" prompt="Be careful with date formatting. Use Month - Day - Year  0/0/0000" sqref="H13:H62" xr:uid="{E6DA557D-AAFA-48EC-A599-0BA7E5D8F3A6}">
      <formula1>43617</formula1>
      <formula2>44377</formula2>
    </dataValidation>
    <dataValidation allowBlank="1" showInputMessage="1" showErrorMessage="1" prompt="For Grantee's own use. Do not send any identifying information with report. " sqref="B13:B62" xr:uid="{B5AD7D4F-129C-40C8-8F81-4771EAF2E614}"/>
    <dataValidation allowBlank="1" showInputMessage="1" showErrorMessage="1" prompt="Use MM/DD/YYYY format (00/00/0000). Leave blank until the date is needed. " sqref="D13:E62" xr:uid="{FE15B8AE-9DA4-4199-8DCE-0C91FC209C29}"/>
    <dataValidation type="custom" allowBlank="1" showInputMessage="1" showErrorMessage="1" prompt="Internal Client I.D.  Use alphabet and/or number characters only. Limit to 15 characters. Needs to match GPRA. " sqref="C13:C62" xr:uid="{97B34604-5945-459F-B4DA-7D4EC027430B}">
      <formula1>AND(ISNUMBER(SUMPRODUCT(SEARCH(MID(C13,ROW(INDIRECT("1:15"&amp;LEN(C13))),1),"0123456789ABCDEFGHIJKLMNOPQRSTUVWXYZ"))),LEN(C13)&lt;=15)</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2C010-7C96-4AC6-AADA-7E87BED3AB2A}">
  <sheetPr>
    <tabColor theme="1"/>
  </sheetPr>
  <dimension ref="A1:AE69"/>
  <sheetViews>
    <sheetView topLeftCell="D1" workbookViewId="0">
      <pane ySplit="1" topLeftCell="A20" activePane="bottomLeft" state="frozen"/>
      <selection pane="bottomLeft" activeCell="K12" sqref="K12:M24"/>
    </sheetView>
  </sheetViews>
  <sheetFormatPr defaultRowHeight="15" x14ac:dyDescent="0.25"/>
  <cols>
    <col min="1" max="1" width="5.28515625" customWidth="1"/>
    <col min="2" max="2" width="13.85546875" customWidth="1"/>
    <col min="3" max="3" width="10.7109375" customWidth="1"/>
    <col min="4" max="4" width="12.42578125" customWidth="1"/>
    <col min="5" max="5" width="16" customWidth="1"/>
    <col min="6" max="6" width="15" customWidth="1"/>
    <col min="7" max="7" width="12.7109375" customWidth="1"/>
    <col min="8" max="8" width="16.7109375" customWidth="1"/>
    <col min="9" max="9" width="18.85546875" customWidth="1"/>
    <col min="10" max="10" width="20" customWidth="1"/>
    <col min="11" max="11" width="12.28515625" customWidth="1"/>
    <col min="12" max="12" width="21.140625" customWidth="1"/>
    <col min="13" max="13" width="16.7109375" customWidth="1"/>
    <col min="14" max="14" width="17.85546875" customWidth="1"/>
    <col min="15" max="15" width="16.5703125" customWidth="1"/>
    <col min="16" max="16" width="16" customWidth="1"/>
    <col min="17" max="17" width="13.42578125" customWidth="1"/>
    <col min="18" max="18" width="10.7109375" customWidth="1"/>
    <col min="19" max="19" width="11" customWidth="1"/>
    <col min="20" max="22" width="10.7109375" customWidth="1"/>
    <col min="24" max="24" width="10" customWidth="1"/>
    <col min="25" max="25" width="12.140625" customWidth="1"/>
    <col min="26" max="26" width="11" customWidth="1"/>
    <col min="27" max="27" width="10.85546875" customWidth="1"/>
    <col min="28" max="28" width="10.28515625" customWidth="1"/>
  </cols>
  <sheetData>
    <row r="1" spans="1:31" ht="69.95" customHeight="1" thickTop="1" x14ac:dyDescent="0.25">
      <c r="A1" s="13" t="s">
        <v>245</v>
      </c>
      <c r="B1" s="58" t="s">
        <v>336</v>
      </c>
      <c r="C1" s="59" t="s">
        <v>337</v>
      </c>
      <c r="D1" s="58" t="s">
        <v>527</v>
      </c>
      <c r="E1" s="245" t="s">
        <v>449</v>
      </c>
      <c r="F1" s="184" t="s">
        <v>448</v>
      </c>
      <c r="G1" s="248" t="s">
        <v>512</v>
      </c>
      <c r="H1" s="253" t="s">
        <v>528</v>
      </c>
      <c r="I1" s="85" t="s">
        <v>529</v>
      </c>
      <c r="J1" s="264" t="s">
        <v>285</v>
      </c>
      <c r="K1" s="88" t="s">
        <v>286</v>
      </c>
      <c r="L1" s="87" t="s">
        <v>530</v>
      </c>
      <c r="M1" s="184" t="s">
        <v>531</v>
      </c>
      <c r="N1" s="414" t="s">
        <v>647</v>
      </c>
      <c r="O1" s="182" t="s">
        <v>526</v>
      </c>
      <c r="P1" s="176" t="s">
        <v>525</v>
      </c>
      <c r="Q1" s="86" t="s">
        <v>290</v>
      </c>
      <c r="R1" s="382" t="s">
        <v>648</v>
      </c>
      <c r="S1" s="632" t="s">
        <v>649</v>
      </c>
      <c r="T1" s="383" t="s">
        <v>650</v>
      </c>
      <c r="U1" s="384" t="s">
        <v>651</v>
      </c>
      <c r="V1" s="655" t="s">
        <v>652</v>
      </c>
      <c r="W1" s="393" t="s">
        <v>513</v>
      </c>
      <c r="X1" s="627" t="s">
        <v>673</v>
      </c>
      <c r="Y1" s="633" t="s">
        <v>674</v>
      </c>
      <c r="Z1" s="628" t="s">
        <v>675</v>
      </c>
      <c r="AA1" s="630" t="s">
        <v>676</v>
      </c>
      <c r="AB1" s="629" t="s">
        <v>677</v>
      </c>
      <c r="AC1" s="647"/>
      <c r="AE1" s="631"/>
    </row>
    <row r="2" spans="1:31"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3"/>
      <c r="M2" s="79"/>
      <c r="N2" s="79"/>
      <c r="O2" s="79"/>
      <c r="P2" s="79"/>
      <c r="Q2" s="79"/>
      <c r="R2" s="228"/>
      <c r="S2" s="82"/>
      <c r="T2" s="82"/>
      <c r="U2" s="82"/>
      <c r="V2" s="228"/>
      <c r="W2" s="82"/>
      <c r="X2" s="82"/>
      <c r="Y2" s="82"/>
      <c r="Z2" s="82"/>
      <c r="AA2" s="82"/>
      <c r="AB2" s="82"/>
      <c r="AC2" s="649"/>
    </row>
    <row r="3" spans="1:31" ht="15.75" x14ac:dyDescent="0.25">
      <c r="A3" s="1105" t="str">
        <f>'BASE GRANTEE INFO &amp; UPDATES'!A2</f>
        <v>FISCAL YEAR: 2025 (09/30/2024 - 09/29/2025)</v>
      </c>
      <c r="B3" s="1106"/>
      <c r="C3" s="1106"/>
      <c r="D3" s="1106"/>
      <c r="E3" s="1106"/>
      <c r="F3" s="1106"/>
      <c r="G3" s="1106"/>
      <c r="H3" s="1106"/>
      <c r="I3" s="1106"/>
      <c r="J3" s="1106"/>
      <c r="K3" s="1106"/>
      <c r="L3" s="1106"/>
      <c r="M3" s="82"/>
      <c r="N3" s="82"/>
      <c r="O3" s="82"/>
      <c r="P3" s="80"/>
      <c r="Q3" s="80"/>
      <c r="R3" s="82"/>
      <c r="S3" s="82"/>
      <c r="T3" s="82"/>
      <c r="U3" s="82"/>
      <c r="V3" s="82"/>
      <c r="W3" s="82"/>
      <c r="X3" s="82"/>
      <c r="Y3" s="82"/>
      <c r="Z3" s="82"/>
      <c r="AA3" s="82"/>
      <c r="AB3" s="82"/>
      <c r="AC3" s="650"/>
    </row>
    <row r="4" spans="1:31" ht="15.75" x14ac:dyDescent="0.25">
      <c r="A4" s="1166" t="str">
        <f>'BASE GRANTEE INFO &amp; UPDATES'!A3</f>
        <v xml:space="preserve">Program reports need to be submitted electronically, via e-mail to BBHReporting@wv.gov  within 25 calendar days of the end of each month </v>
      </c>
      <c r="B4" s="1167"/>
      <c r="C4" s="1167"/>
      <c r="D4" s="1167"/>
      <c r="E4" s="1167"/>
      <c r="F4" s="1167"/>
      <c r="G4" s="1167"/>
      <c r="H4" s="1167"/>
      <c r="I4" s="1167"/>
      <c r="J4" s="1167"/>
      <c r="K4" s="1167"/>
      <c r="L4" s="1167"/>
      <c r="M4" s="82"/>
      <c r="N4" s="82"/>
      <c r="O4" s="82"/>
      <c r="P4" s="81"/>
      <c r="Q4" s="81"/>
      <c r="R4" s="82"/>
      <c r="S4" s="82"/>
      <c r="T4" s="82"/>
      <c r="U4" s="82"/>
      <c r="V4" s="82"/>
      <c r="W4" s="82"/>
      <c r="X4" s="82"/>
      <c r="Y4" s="82"/>
      <c r="Z4" s="82"/>
      <c r="AA4" s="82"/>
      <c r="AB4" s="82"/>
      <c r="AC4" s="650"/>
    </row>
    <row r="5" spans="1:31" ht="18.75" x14ac:dyDescent="0.25">
      <c r="A5" s="1168" t="s">
        <v>653</v>
      </c>
      <c r="B5" s="1168"/>
      <c r="C5" s="1168"/>
      <c r="D5" s="1168"/>
      <c r="E5" s="1168"/>
      <c r="F5" s="1168"/>
      <c r="G5" s="1168"/>
      <c r="H5" s="1168"/>
      <c r="I5" s="1168"/>
      <c r="J5" s="1168"/>
      <c r="K5" s="1168"/>
      <c r="L5" s="1168"/>
      <c r="M5" s="82"/>
      <c r="N5" s="82"/>
      <c r="O5" s="82"/>
      <c r="P5" s="12"/>
      <c r="Q5" s="12"/>
      <c r="R5" s="82"/>
      <c r="S5" s="82"/>
      <c r="T5" s="82"/>
      <c r="U5" s="82"/>
      <c r="V5" s="82"/>
      <c r="W5" s="82"/>
      <c r="X5" s="82"/>
      <c r="Y5" s="82"/>
      <c r="Z5" s="82"/>
      <c r="AA5" s="82"/>
      <c r="AB5" s="82"/>
      <c r="AC5" s="650"/>
    </row>
    <row r="6" spans="1:31" ht="20.100000000000001" customHeight="1" x14ac:dyDescent="0.25">
      <c r="A6" s="1142" t="s">
        <v>0</v>
      </c>
      <c r="B6" s="1142"/>
      <c r="C6" s="1142"/>
      <c r="D6" s="1142"/>
      <c r="E6" s="1152" t="str">
        <f>'BASE GRANTEE INFO &amp; UPDATES'!E5</f>
        <v xml:space="preserve">Community Anti-Drug Coalitions of America (CADCA) and Teen Court </v>
      </c>
      <c r="F6" s="1153"/>
      <c r="G6" s="1154"/>
      <c r="H6" s="1146" t="s">
        <v>1</v>
      </c>
      <c r="I6" s="1147"/>
      <c r="J6" s="1148">
        <f>'BASE GRANTEE INFO &amp; UPDATES'!M5</f>
        <v>0</v>
      </c>
      <c r="K6" s="1148"/>
      <c r="L6" s="1234"/>
      <c r="M6" s="82"/>
      <c r="N6" s="82"/>
      <c r="O6" s="82"/>
      <c r="P6" s="82"/>
      <c r="Q6" s="82"/>
      <c r="R6" s="82"/>
      <c r="S6" s="82"/>
      <c r="T6" s="82"/>
      <c r="U6" s="82"/>
      <c r="V6" s="82"/>
      <c r="W6" s="82"/>
      <c r="X6" s="82"/>
      <c r="Y6" s="82"/>
      <c r="Z6" s="82"/>
      <c r="AA6" s="82"/>
      <c r="AB6" s="82"/>
      <c r="AC6" s="650"/>
    </row>
    <row r="7" spans="1:31" ht="20.100000000000001" customHeight="1" x14ac:dyDescent="0.25">
      <c r="A7" s="1142" t="s">
        <v>2</v>
      </c>
      <c r="B7" s="1142"/>
      <c r="C7" s="1142"/>
      <c r="D7" s="1142"/>
      <c r="E7" s="1143" t="str">
        <f>'BASE GRANTEE INFO &amp; UPDATES'!E6</f>
        <v>CADCA In Action and Teen Court</v>
      </c>
      <c r="F7" s="1144"/>
      <c r="G7" s="1145"/>
      <c r="H7" s="1146" t="s">
        <v>3</v>
      </c>
      <c r="I7" s="1147"/>
      <c r="J7" s="1148">
        <f>'BASE GRANTEE INFO &amp; UPDATES'!M6</f>
        <v>0</v>
      </c>
      <c r="K7" s="1148"/>
      <c r="L7" s="1234"/>
      <c r="M7" s="82"/>
      <c r="N7" s="82"/>
      <c r="O7" s="82"/>
      <c r="P7" s="82"/>
      <c r="Q7" s="82"/>
      <c r="R7" s="82"/>
      <c r="S7" s="82"/>
      <c r="T7" s="82"/>
      <c r="U7" s="82"/>
      <c r="V7" s="82"/>
      <c r="W7" s="82"/>
      <c r="X7" s="82"/>
      <c r="Y7" s="82"/>
      <c r="Z7" s="82"/>
      <c r="AA7" s="82"/>
      <c r="AB7" s="82"/>
      <c r="AC7" s="650"/>
    </row>
    <row r="8" spans="1:31" ht="20.100000000000001" customHeight="1" x14ac:dyDescent="0.25">
      <c r="A8" s="1149" t="s">
        <v>4</v>
      </c>
      <c r="B8" s="1149"/>
      <c r="C8" s="1149"/>
      <c r="D8" s="1149"/>
      <c r="E8" s="1235">
        <f>'BASE GRANTEE INFO &amp; UPDATES'!E7</f>
        <v>0</v>
      </c>
      <c r="F8" s="1148"/>
      <c r="G8" s="1234"/>
      <c r="H8" s="1146" t="s">
        <v>374</v>
      </c>
      <c r="I8" s="1147"/>
      <c r="J8" s="1148">
        <f>'BASE GRANTEE INFO &amp; UPDATES'!M7</f>
        <v>0</v>
      </c>
      <c r="K8" s="1148"/>
      <c r="L8" s="1234"/>
      <c r="M8" s="82"/>
      <c r="N8" s="82"/>
      <c r="O8" s="82"/>
      <c r="P8" s="82"/>
      <c r="Q8" s="82"/>
      <c r="R8" s="82"/>
      <c r="S8" s="82"/>
      <c r="T8" s="82"/>
      <c r="U8" s="82"/>
      <c r="V8" s="82"/>
      <c r="W8" s="82"/>
      <c r="X8" s="82"/>
      <c r="Y8" s="82"/>
      <c r="Z8" s="82"/>
      <c r="AA8" s="82"/>
      <c r="AB8" s="82"/>
      <c r="AC8" s="650"/>
    </row>
    <row r="9" spans="1:31" ht="20.100000000000001" customHeight="1" x14ac:dyDescent="0.25">
      <c r="A9" s="1149"/>
      <c r="B9" s="1149"/>
      <c r="C9" s="1149"/>
      <c r="D9" s="1149"/>
      <c r="E9" s="1235"/>
      <c r="F9" s="1148"/>
      <c r="G9" s="1234"/>
      <c r="H9" s="1150" t="s">
        <v>6</v>
      </c>
      <c r="I9" s="1151"/>
      <c r="J9" s="1148">
        <f>'BASE GRANTEE INFO &amp; UPDATES'!M8</f>
        <v>0</v>
      </c>
      <c r="K9" s="1148"/>
      <c r="L9" s="1234"/>
      <c r="M9" s="82"/>
      <c r="N9" s="82"/>
      <c r="O9" s="82"/>
      <c r="P9" s="82"/>
      <c r="Q9" s="82"/>
      <c r="R9" s="82"/>
      <c r="S9" s="82"/>
      <c r="T9" s="82"/>
      <c r="U9" s="82"/>
      <c r="V9" s="82"/>
      <c r="W9" s="82"/>
      <c r="X9" s="82"/>
      <c r="Y9" s="82"/>
      <c r="Z9" s="82"/>
      <c r="AA9" s="82"/>
      <c r="AB9" s="82"/>
      <c r="AC9" s="650"/>
    </row>
    <row r="10" spans="1:31" ht="20.100000000000001" customHeight="1" x14ac:dyDescent="0.25">
      <c r="A10" s="1142" t="s">
        <v>7</v>
      </c>
      <c r="B10" s="1142"/>
      <c r="C10" s="1142"/>
      <c r="D10" s="1142"/>
      <c r="E10" s="1237" t="str">
        <f>'BASE GRANTEE INFO &amp; UPDATES'!E9</f>
        <v>September 1 - 30</v>
      </c>
      <c r="F10" s="1237"/>
      <c r="G10" s="380">
        <f>'BASE GRANTEE INFO &amp; UPDATES'!G9</f>
        <v>2024</v>
      </c>
      <c r="H10" s="1150" t="s">
        <v>8</v>
      </c>
      <c r="I10" s="1151"/>
      <c r="J10" s="1148">
        <f>'BASE GRANTEE INFO &amp; UPDATES'!M9</f>
        <v>0</v>
      </c>
      <c r="K10" s="1148"/>
      <c r="L10" s="1234"/>
      <c r="M10" s="82"/>
      <c r="N10" s="82"/>
      <c r="O10" s="82"/>
      <c r="P10" s="82"/>
      <c r="Q10" s="82"/>
      <c r="R10" s="82"/>
      <c r="S10" s="82"/>
      <c r="T10" s="82"/>
      <c r="U10" s="82"/>
      <c r="V10" s="82"/>
      <c r="W10" s="82"/>
      <c r="X10" s="82"/>
      <c r="Y10" s="82"/>
      <c r="Z10" s="82"/>
      <c r="AA10" s="82"/>
      <c r="AB10" s="82"/>
      <c r="AC10" s="651"/>
    </row>
    <row r="11" spans="1:31" ht="18.75" x14ac:dyDescent="0.25">
      <c r="A11" s="1232" t="s">
        <v>646</v>
      </c>
      <c r="B11" s="1233"/>
      <c r="C11" s="1233"/>
      <c r="D11" s="1233"/>
      <c r="E11" s="1233"/>
      <c r="F11" s="1233"/>
      <c r="G11" s="1233"/>
      <c r="H11" s="1233"/>
      <c r="I11" s="1233"/>
      <c r="J11" s="1233"/>
      <c r="K11" s="1233"/>
      <c r="L11" s="1233"/>
      <c r="M11" s="84"/>
      <c r="N11" s="84"/>
      <c r="O11" s="84"/>
      <c r="P11" s="84"/>
      <c r="Q11" s="84"/>
      <c r="R11" s="1229" t="s">
        <v>671</v>
      </c>
      <c r="S11" s="1230"/>
      <c r="T11" s="1230"/>
      <c r="U11" s="1230"/>
      <c r="V11" s="1230"/>
      <c r="W11" s="1236"/>
      <c r="X11" s="1229" t="s">
        <v>672</v>
      </c>
      <c r="Y11" s="1230"/>
      <c r="Z11" s="1230"/>
      <c r="AA11" s="1230"/>
      <c r="AB11" s="1230"/>
      <c r="AC11" s="1231"/>
    </row>
    <row r="12" spans="1:31" ht="69.95" customHeight="1" x14ac:dyDescent="0.25">
      <c r="A12" s="13" t="s">
        <v>245</v>
      </c>
      <c r="B12" s="58" t="s">
        <v>336</v>
      </c>
      <c r="C12" s="59" t="s">
        <v>337</v>
      </c>
      <c r="D12" s="58" t="s">
        <v>527</v>
      </c>
      <c r="E12" s="245" t="s">
        <v>278</v>
      </c>
      <c r="F12" s="184" t="s">
        <v>448</v>
      </c>
      <c r="G12" s="248" t="s">
        <v>512</v>
      </c>
      <c r="H12" s="254" t="s">
        <v>528</v>
      </c>
      <c r="I12" s="85" t="s">
        <v>529</v>
      </c>
      <c r="J12" s="264" t="s">
        <v>285</v>
      </c>
      <c r="K12" s="88" t="s">
        <v>286</v>
      </c>
      <c r="L12" s="87" t="s">
        <v>530</v>
      </c>
      <c r="M12" s="184" t="s">
        <v>531</v>
      </c>
      <c r="N12" s="180" t="s">
        <v>647</v>
      </c>
      <c r="O12" s="182" t="s">
        <v>526</v>
      </c>
      <c r="P12" s="176" t="s">
        <v>525</v>
      </c>
      <c r="Q12" s="86" t="s">
        <v>290</v>
      </c>
      <c r="R12" s="634" t="s">
        <v>648</v>
      </c>
      <c r="S12" s="635" t="s">
        <v>649</v>
      </c>
      <c r="T12" s="636" t="s">
        <v>650</v>
      </c>
      <c r="U12" s="637" t="s">
        <v>651</v>
      </c>
      <c r="V12" s="638" t="s">
        <v>652</v>
      </c>
      <c r="W12" s="639" t="s">
        <v>513</v>
      </c>
      <c r="X12" s="641" t="s">
        <v>673</v>
      </c>
      <c r="Y12" s="642" t="s">
        <v>674</v>
      </c>
      <c r="Z12" s="643" t="s">
        <v>675</v>
      </c>
      <c r="AA12" s="644" t="s">
        <v>676</v>
      </c>
      <c r="AB12" s="645" t="s">
        <v>677</v>
      </c>
      <c r="AC12" s="646"/>
    </row>
    <row r="13" spans="1:31" ht="50.1" customHeight="1" x14ac:dyDescent="0.25">
      <c r="A13" s="18">
        <f>ROW(A1)</f>
        <v>1</v>
      </c>
      <c r="B13" s="102">
        <f>'2DEMOGRAPHICS'!B13</f>
        <v>1</v>
      </c>
      <c r="C13" s="104" t="str">
        <f>'2DEMOGRAPHICS'!C13</f>
        <v>aaaaa11111aaaaa</v>
      </c>
      <c r="D13" s="103">
        <f>'2DEMOGRAPHICS'!D13</f>
        <v>44075</v>
      </c>
      <c r="E13" s="247" t="s">
        <v>385</v>
      </c>
      <c r="F13" s="246" t="s">
        <v>22</v>
      </c>
      <c r="G13" s="103">
        <f>'2DEMOGRAPHICS'!E13</f>
        <v>44077</v>
      </c>
      <c r="H13" s="173" t="s">
        <v>100</v>
      </c>
      <c r="I13" s="263" t="s">
        <v>22</v>
      </c>
      <c r="J13" s="246" t="s">
        <v>22</v>
      </c>
      <c r="K13" s="105" t="s">
        <v>100</v>
      </c>
      <c r="L13" s="87" t="s">
        <v>403</v>
      </c>
      <c r="M13" s="260" t="s">
        <v>22</v>
      </c>
      <c r="N13" s="181" t="s">
        <v>387</v>
      </c>
      <c r="O13" s="262" t="s">
        <v>22</v>
      </c>
      <c r="P13" s="174" t="s">
        <v>100</v>
      </c>
      <c r="Q13" s="175" t="s">
        <v>100</v>
      </c>
      <c r="R13" s="407" t="s">
        <v>100</v>
      </c>
      <c r="S13" s="401" t="s">
        <v>100</v>
      </c>
      <c r="T13" s="400" t="s">
        <v>100</v>
      </c>
      <c r="U13" s="401" t="s">
        <v>100</v>
      </c>
      <c r="V13" s="385">
        <v>44077</v>
      </c>
      <c r="W13" s="640" t="e">
        <f>#REF!-D13</f>
        <v>#REF!</v>
      </c>
      <c r="X13" s="652" t="s">
        <v>100</v>
      </c>
      <c r="Y13" s="656" t="s">
        <v>100</v>
      </c>
      <c r="Z13" s="653" t="s">
        <v>100</v>
      </c>
      <c r="AA13" s="656" t="s">
        <v>100</v>
      </c>
      <c r="AB13" s="654">
        <v>44077</v>
      </c>
      <c r="AC13" s="648"/>
    </row>
    <row r="14" spans="1:31" ht="50.1" customHeight="1" x14ac:dyDescent="0.25">
      <c r="A14" s="18">
        <f t="shared" ref="A14:A62" si="0">ROW(A2)</f>
        <v>2</v>
      </c>
      <c r="B14" s="102">
        <f>'2DEMOGRAPHICS'!B14</f>
        <v>2</v>
      </c>
      <c r="C14" s="104" t="str">
        <f>'2DEMOGRAPHICS'!C14</f>
        <v>aaaaa11111aaaaa</v>
      </c>
      <c r="D14" s="103">
        <f>'2DEMOGRAPHICS'!D14</f>
        <v>44105</v>
      </c>
      <c r="E14" s="247" t="s">
        <v>388</v>
      </c>
      <c r="F14" s="246" t="s">
        <v>22</v>
      </c>
      <c r="G14" s="103">
        <f>'2DEMOGRAPHICS'!E14</f>
        <v>44107</v>
      </c>
      <c r="H14" s="173" t="s">
        <v>104</v>
      </c>
      <c r="I14" s="263" t="s">
        <v>22</v>
      </c>
      <c r="J14" s="246" t="s">
        <v>22</v>
      </c>
      <c r="K14" s="105" t="s">
        <v>104</v>
      </c>
      <c r="L14" s="87" t="s">
        <v>405</v>
      </c>
      <c r="M14" s="261" t="s">
        <v>22</v>
      </c>
      <c r="N14" s="181" t="s">
        <v>390</v>
      </c>
      <c r="O14" s="262" t="s">
        <v>22</v>
      </c>
      <c r="P14" s="174" t="s">
        <v>104</v>
      </c>
      <c r="Q14" s="175" t="s">
        <v>104</v>
      </c>
      <c r="R14" s="407" t="s">
        <v>104</v>
      </c>
      <c r="S14" s="401" t="s">
        <v>104</v>
      </c>
      <c r="T14" s="400" t="s">
        <v>104</v>
      </c>
      <c r="U14" s="401" t="s">
        <v>104</v>
      </c>
      <c r="V14" s="385">
        <v>44107</v>
      </c>
      <c r="W14" s="640" t="e">
        <f>#REF!-D14</f>
        <v>#REF!</v>
      </c>
      <c r="X14" s="652" t="s">
        <v>104</v>
      </c>
      <c r="Y14" s="656" t="s">
        <v>104</v>
      </c>
      <c r="Z14" s="653" t="s">
        <v>104</v>
      </c>
      <c r="AA14" s="656" t="s">
        <v>104</v>
      </c>
      <c r="AB14" s="654">
        <v>44107</v>
      </c>
      <c r="AC14" s="648"/>
    </row>
    <row r="15" spans="1:31" ht="50.1" customHeight="1" x14ac:dyDescent="0.25">
      <c r="A15" s="18">
        <f t="shared" si="0"/>
        <v>3</v>
      </c>
      <c r="B15" s="102">
        <f>'2DEMOGRAPHICS'!B15</f>
        <v>3</v>
      </c>
      <c r="C15" s="104" t="str">
        <f>'2DEMOGRAPHICS'!C15</f>
        <v>aaaaa11111aaaaa</v>
      </c>
      <c r="D15" s="103">
        <f>'2DEMOGRAPHICS'!D15</f>
        <v>44136</v>
      </c>
      <c r="E15" s="247" t="s">
        <v>391</v>
      </c>
      <c r="F15" s="246" t="s">
        <v>22</v>
      </c>
      <c r="G15" s="103">
        <f>'2DEMOGRAPHICS'!E15</f>
        <v>44137</v>
      </c>
      <c r="H15" s="173" t="s">
        <v>100</v>
      </c>
      <c r="I15" s="263" t="s">
        <v>22</v>
      </c>
      <c r="J15" s="246" t="s">
        <v>22</v>
      </c>
      <c r="K15" s="105" t="s">
        <v>100</v>
      </c>
      <c r="L15" s="87" t="s">
        <v>407</v>
      </c>
      <c r="M15" s="261" t="s">
        <v>22</v>
      </c>
      <c r="N15" s="181" t="s">
        <v>393</v>
      </c>
      <c r="O15" s="262" t="s">
        <v>22</v>
      </c>
      <c r="P15" s="174" t="s">
        <v>100</v>
      </c>
      <c r="Q15" s="175" t="s">
        <v>100</v>
      </c>
      <c r="R15" s="407" t="s">
        <v>100</v>
      </c>
      <c r="S15" s="401" t="s">
        <v>100</v>
      </c>
      <c r="T15" s="400" t="s">
        <v>100</v>
      </c>
      <c r="U15" s="401" t="s">
        <v>100</v>
      </c>
      <c r="V15" s="385">
        <v>44137</v>
      </c>
      <c r="W15" s="640" t="e">
        <f>#REF!-D15</f>
        <v>#REF!</v>
      </c>
      <c r="X15" s="652" t="s">
        <v>100</v>
      </c>
      <c r="Y15" s="656" t="s">
        <v>100</v>
      </c>
      <c r="Z15" s="653" t="s">
        <v>100</v>
      </c>
      <c r="AA15" s="656" t="s">
        <v>100</v>
      </c>
      <c r="AB15" s="654">
        <v>44137</v>
      </c>
      <c r="AC15" s="648"/>
    </row>
    <row r="16" spans="1:31" ht="50.1" customHeight="1" x14ac:dyDescent="0.25">
      <c r="A16" s="18">
        <f t="shared" si="0"/>
        <v>4</v>
      </c>
      <c r="B16" s="102">
        <f>'2DEMOGRAPHICS'!B16</f>
        <v>4</v>
      </c>
      <c r="C16" s="104" t="str">
        <f>'2DEMOGRAPHICS'!C16</f>
        <v>aaaaa11111aaaaa</v>
      </c>
      <c r="D16" s="103">
        <f>'2DEMOGRAPHICS'!D16</f>
        <v>44166</v>
      </c>
      <c r="E16" s="247" t="s">
        <v>394</v>
      </c>
      <c r="F16" s="246" t="s">
        <v>22</v>
      </c>
      <c r="G16" s="103">
        <f>'2DEMOGRAPHICS'!E16</f>
        <v>44170</v>
      </c>
      <c r="H16" s="173" t="s">
        <v>104</v>
      </c>
      <c r="I16" s="263" t="s">
        <v>22</v>
      </c>
      <c r="J16" s="246" t="s">
        <v>22</v>
      </c>
      <c r="K16" s="105" t="s">
        <v>104</v>
      </c>
      <c r="L16" s="87" t="s">
        <v>410</v>
      </c>
      <c r="M16" s="261" t="s">
        <v>22</v>
      </c>
      <c r="N16" s="181" t="s">
        <v>396</v>
      </c>
      <c r="O16" s="262" t="s">
        <v>22</v>
      </c>
      <c r="P16" s="174" t="s">
        <v>104</v>
      </c>
      <c r="Q16" s="175" t="s">
        <v>104</v>
      </c>
      <c r="R16" s="407" t="s">
        <v>104</v>
      </c>
      <c r="S16" s="401" t="s">
        <v>104</v>
      </c>
      <c r="T16" s="400" t="s">
        <v>104</v>
      </c>
      <c r="U16" s="401" t="s">
        <v>104</v>
      </c>
      <c r="V16" s="385">
        <v>44170</v>
      </c>
      <c r="W16" s="640" t="e">
        <f>#REF!-D16</f>
        <v>#REF!</v>
      </c>
      <c r="X16" s="652" t="s">
        <v>104</v>
      </c>
      <c r="Y16" s="656" t="s">
        <v>104</v>
      </c>
      <c r="Z16" s="653" t="s">
        <v>104</v>
      </c>
      <c r="AA16" s="656" t="s">
        <v>104</v>
      </c>
      <c r="AB16" s="654">
        <v>44170</v>
      </c>
      <c r="AC16" s="648"/>
    </row>
    <row r="17" spans="1:29" ht="50.1" customHeight="1" x14ac:dyDescent="0.25">
      <c r="A17" s="18">
        <f t="shared" si="0"/>
        <v>5</v>
      </c>
      <c r="B17" s="102">
        <f>'2DEMOGRAPHICS'!B17</f>
        <v>5</v>
      </c>
      <c r="C17" s="104" t="str">
        <f>'2DEMOGRAPHICS'!C17</f>
        <v>aaaaa11111aaaaa</v>
      </c>
      <c r="D17" s="103">
        <f>'2DEMOGRAPHICS'!D17</f>
        <v>44197</v>
      </c>
      <c r="E17" s="247" t="s">
        <v>398</v>
      </c>
      <c r="F17" s="246" t="s">
        <v>22</v>
      </c>
      <c r="G17" s="103">
        <f>'2DEMOGRAPHICS'!E17</f>
        <v>44201</v>
      </c>
      <c r="H17" s="173" t="s">
        <v>100</v>
      </c>
      <c r="I17" s="263" t="s">
        <v>22</v>
      </c>
      <c r="J17" s="246" t="s">
        <v>22</v>
      </c>
      <c r="K17" s="105" t="s">
        <v>100</v>
      </c>
      <c r="L17" s="87" t="s">
        <v>412</v>
      </c>
      <c r="M17" s="261" t="s">
        <v>22</v>
      </c>
      <c r="N17" s="181" t="s">
        <v>400</v>
      </c>
      <c r="O17" s="262" t="s">
        <v>22</v>
      </c>
      <c r="P17" s="174" t="s">
        <v>100</v>
      </c>
      <c r="Q17" s="175" t="s">
        <v>100</v>
      </c>
      <c r="R17" s="407" t="s">
        <v>100</v>
      </c>
      <c r="S17" s="401" t="s">
        <v>100</v>
      </c>
      <c r="T17" s="400" t="s">
        <v>100</v>
      </c>
      <c r="U17" s="401" t="s">
        <v>100</v>
      </c>
      <c r="V17" s="385">
        <v>44201</v>
      </c>
      <c r="W17" s="640" t="e">
        <f>#REF!-D17</f>
        <v>#REF!</v>
      </c>
      <c r="X17" s="652" t="s">
        <v>100</v>
      </c>
      <c r="Y17" s="656" t="s">
        <v>100</v>
      </c>
      <c r="Z17" s="653" t="s">
        <v>100</v>
      </c>
      <c r="AA17" s="656" t="s">
        <v>100</v>
      </c>
      <c r="AB17" s="654">
        <v>44201</v>
      </c>
      <c r="AC17" s="648"/>
    </row>
    <row r="18" spans="1:29" ht="50.1" customHeight="1" x14ac:dyDescent="0.25">
      <c r="A18" s="18">
        <f t="shared" ref="A18:A23" si="1">ROW(A6)</f>
        <v>6</v>
      </c>
      <c r="B18" s="102">
        <f>'2DEMOGRAPHICS'!B18</f>
        <v>6</v>
      </c>
      <c r="C18" s="104" t="str">
        <f>'2DEMOGRAPHICS'!C18</f>
        <v>aaaaa11111aaaaa</v>
      </c>
      <c r="D18" s="103">
        <f>'2DEMOGRAPHICS'!D18</f>
        <v>44228</v>
      </c>
      <c r="E18" s="247" t="s">
        <v>401</v>
      </c>
      <c r="F18" s="246" t="s">
        <v>22</v>
      </c>
      <c r="G18" s="103">
        <f>'2DEMOGRAPHICS'!E18</f>
        <v>44230</v>
      </c>
      <c r="H18" s="173" t="s">
        <v>104</v>
      </c>
      <c r="I18" s="263" t="s">
        <v>22</v>
      </c>
      <c r="J18" s="246" t="s">
        <v>22</v>
      </c>
      <c r="K18" s="105" t="s">
        <v>104</v>
      </c>
      <c r="L18" s="87" t="s">
        <v>414</v>
      </c>
      <c r="M18" s="261" t="s">
        <v>22</v>
      </c>
      <c r="N18" s="181" t="s">
        <v>402</v>
      </c>
      <c r="O18" s="262" t="s">
        <v>22</v>
      </c>
      <c r="P18" s="174" t="s">
        <v>104</v>
      </c>
      <c r="Q18" s="175" t="s">
        <v>104</v>
      </c>
      <c r="R18" s="407" t="s">
        <v>104</v>
      </c>
      <c r="S18" s="401" t="s">
        <v>104</v>
      </c>
      <c r="T18" s="400" t="s">
        <v>104</v>
      </c>
      <c r="U18" s="401" t="s">
        <v>104</v>
      </c>
      <c r="V18" s="385">
        <v>44230</v>
      </c>
      <c r="W18" s="640" t="e">
        <f>#REF!-D18</f>
        <v>#REF!</v>
      </c>
      <c r="X18" s="652" t="s">
        <v>104</v>
      </c>
      <c r="Y18" s="656" t="s">
        <v>104</v>
      </c>
      <c r="Z18" s="653" t="s">
        <v>104</v>
      </c>
      <c r="AA18" s="656" t="s">
        <v>104</v>
      </c>
      <c r="AB18" s="654">
        <v>44230</v>
      </c>
      <c r="AC18" s="648"/>
    </row>
    <row r="19" spans="1:29" ht="50.1" customHeight="1" x14ac:dyDescent="0.25">
      <c r="A19" s="18">
        <f t="shared" si="1"/>
        <v>7</v>
      </c>
      <c r="B19" s="102">
        <f>'2DEMOGRAPHICS'!B19</f>
        <v>7</v>
      </c>
      <c r="C19" s="104" t="str">
        <f>'2DEMOGRAPHICS'!C19</f>
        <v>aaaaa11111aaaaa</v>
      </c>
      <c r="D19" s="103">
        <f>'2DEMOGRAPHICS'!D19</f>
        <v>44256</v>
      </c>
      <c r="E19" s="247" t="s">
        <v>192</v>
      </c>
      <c r="F19" s="246" t="s">
        <v>22</v>
      </c>
      <c r="G19" s="103">
        <f>'2DEMOGRAPHICS'!E19</f>
        <v>44259</v>
      </c>
      <c r="H19" s="173" t="s">
        <v>100</v>
      </c>
      <c r="I19" s="263" t="s">
        <v>22</v>
      </c>
      <c r="J19" s="246" t="s">
        <v>22</v>
      </c>
      <c r="K19" s="105" t="s">
        <v>100</v>
      </c>
      <c r="L19" s="87" t="s">
        <v>416</v>
      </c>
      <c r="M19" s="261" t="s">
        <v>22</v>
      </c>
      <c r="N19" s="181" t="s">
        <v>654</v>
      </c>
      <c r="O19" s="262" t="s">
        <v>22</v>
      </c>
      <c r="P19" s="174" t="s">
        <v>100</v>
      </c>
      <c r="Q19" s="175" t="s">
        <v>100</v>
      </c>
      <c r="R19" s="407" t="s">
        <v>100</v>
      </c>
      <c r="S19" s="401" t="s">
        <v>100</v>
      </c>
      <c r="T19" s="400" t="s">
        <v>100</v>
      </c>
      <c r="U19" s="401" t="s">
        <v>100</v>
      </c>
      <c r="V19" s="385">
        <v>44259</v>
      </c>
      <c r="W19" s="640" t="e">
        <f>#REF!-D19</f>
        <v>#REF!</v>
      </c>
      <c r="X19" s="652" t="s">
        <v>100</v>
      </c>
      <c r="Y19" s="656" t="s">
        <v>100</v>
      </c>
      <c r="Z19" s="653" t="s">
        <v>100</v>
      </c>
      <c r="AA19" s="656" t="s">
        <v>100</v>
      </c>
      <c r="AB19" s="654">
        <v>44259</v>
      </c>
      <c r="AC19" s="648"/>
    </row>
    <row r="20" spans="1:29" ht="50.1" customHeight="1" x14ac:dyDescent="0.25">
      <c r="A20" s="18">
        <f t="shared" si="1"/>
        <v>8</v>
      </c>
      <c r="B20" s="102">
        <f>'2DEMOGRAPHICS'!B20</f>
        <v>8</v>
      </c>
      <c r="C20" s="104" t="str">
        <f>'2DEMOGRAPHICS'!C20</f>
        <v>aaaaa11111aaaaa</v>
      </c>
      <c r="D20" s="103">
        <f>'2DEMOGRAPHICS'!D20</f>
        <v>44287</v>
      </c>
      <c r="E20" s="247" t="s">
        <v>385</v>
      </c>
      <c r="F20" s="246" t="s">
        <v>22</v>
      </c>
      <c r="G20" s="103">
        <f>'2DEMOGRAPHICS'!E20</f>
        <v>44291</v>
      </c>
      <c r="H20" s="173" t="s">
        <v>104</v>
      </c>
      <c r="I20" s="263" t="s">
        <v>22</v>
      </c>
      <c r="J20" s="246" t="s">
        <v>22</v>
      </c>
      <c r="K20" s="105" t="s">
        <v>104</v>
      </c>
      <c r="L20" s="87" t="s">
        <v>419</v>
      </c>
      <c r="M20" s="261" t="s">
        <v>22</v>
      </c>
      <c r="N20" s="181" t="s">
        <v>387</v>
      </c>
      <c r="O20" s="262" t="s">
        <v>22</v>
      </c>
      <c r="P20" s="174" t="s">
        <v>104</v>
      </c>
      <c r="Q20" s="175" t="s">
        <v>104</v>
      </c>
      <c r="R20" s="407" t="s">
        <v>104</v>
      </c>
      <c r="S20" s="401" t="s">
        <v>104</v>
      </c>
      <c r="T20" s="400" t="s">
        <v>104</v>
      </c>
      <c r="U20" s="401" t="s">
        <v>104</v>
      </c>
      <c r="V20" s="385">
        <v>44291</v>
      </c>
      <c r="W20" s="640" t="e">
        <f>#REF!-D20</f>
        <v>#REF!</v>
      </c>
      <c r="X20" s="652" t="s">
        <v>104</v>
      </c>
      <c r="Y20" s="656" t="s">
        <v>104</v>
      </c>
      <c r="Z20" s="653" t="s">
        <v>104</v>
      </c>
      <c r="AA20" s="656" t="s">
        <v>104</v>
      </c>
      <c r="AB20" s="654">
        <v>44291</v>
      </c>
      <c r="AC20" s="648"/>
    </row>
    <row r="21" spans="1:29" ht="50.1" customHeight="1" x14ac:dyDescent="0.25">
      <c r="A21" s="18">
        <f t="shared" si="1"/>
        <v>9</v>
      </c>
      <c r="B21" s="102">
        <f>'2DEMOGRAPHICS'!B21</f>
        <v>9</v>
      </c>
      <c r="C21" s="104" t="str">
        <f>'2DEMOGRAPHICS'!C21</f>
        <v>aaaaa11111aaaaa</v>
      </c>
      <c r="D21" s="103">
        <f>'2DEMOGRAPHICS'!D21</f>
        <v>44317</v>
      </c>
      <c r="E21" s="247" t="s">
        <v>388</v>
      </c>
      <c r="F21" s="246" t="s">
        <v>22</v>
      </c>
      <c r="G21" s="103">
        <f>'2DEMOGRAPHICS'!E21</f>
        <v>44319</v>
      </c>
      <c r="H21" s="173" t="s">
        <v>100</v>
      </c>
      <c r="I21" s="263" t="s">
        <v>22</v>
      </c>
      <c r="J21" s="246" t="s">
        <v>22</v>
      </c>
      <c r="K21" s="105" t="s">
        <v>100</v>
      </c>
      <c r="L21" s="87" t="s">
        <v>209</v>
      </c>
      <c r="M21" s="261" t="s">
        <v>22</v>
      </c>
      <c r="N21" s="181" t="s">
        <v>390</v>
      </c>
      <c r="O21" s="262" t="s">
        <v>22</v>
      </c>
      <c r="P21" s="174" t="s">
        <v>100</v>
      </c>
      <c r="Q21" s="175" t="s">
        <v>100</v>
      </c>
      <c r="R21" s="407" t="s">
        <v>100</v>
      </c>
      <c r="S21" s="401" t="s">
        <v>100</v>
      </c>
      <c r="T21" s="400" t="s">
        <v>100</v>
      </c>
      <c r="U21" s="401" t="s">
        <v>100</v>
      </c>
      <c r="V21" s="385">
        <v>44319</v>
      </c>
      <c r="W21" s="640" t="e">
        <f>#REF!-D21</f>
        <v>#REF!</v>
      </c>
      <c r="X21" s="652" t="s">
        <v>100</v>
      </c>
      <c r="Y21" s="656" t="s">
        <v>100</v>
      </c>
      <c r="Z21" s="653" t="s">
        <v>100</v>
      </c>
      <c r="AA21" s="656" t="s">
        <v>100</v>
      </c>
      <c r="AB21" s="654">
        <v>44319</v>
      </c>
      <c r="AC21" s="648"/>
    </row>
    <row r="22" spans="1:29" ht="50.1" customHeight="1" x14ac:dyDescent="0.25">
      <c r="A22" s="18">
        <f t="shared" si="1"/>
        <v>10</v>
      </c>
      <c r="B22" s="102">
        <f>'2DEMOGRAPHICS'!B22</f>
        <v>10</v>
      </c>
      <c r="C22" s="104" t="str">
        <f>'2DEMOGRAPHICS'!C22</f>
        <v>aaaaa11111aaaaa</v>
      </c>
      <c r="D22" s="103">
        <f>'2DEMOGRAPHICS'!D22</f>
        <v>44348</v>
      </c>
      <c r="E22" s="247" t="s">
        <v>391</v>
      </c>
      <c r="F22" s="246" t="s">
        <v>22</v>
      </c>
      <c r="G22" s="103">
        <f>'2DEMOGRAPHICS'!E22</f>
        <v>44351</v>
      </c>
      <c r="H22" s="173" t="s">
        <v>104</v>
      </c>
      <c r="I22" s="263" t="s">
        <v>22</v>
      </c>
      <c r="J22" s="246" t="s">
        <v>22</v>
      </c>
      <c r="K22" s="105" t="s">
        <v>104</v>
      </c>
      <c r="L22" s="87" t="s">
        <v>403</v>
      </c>
      <c r="M22" s="261" t="s">
        <v>22</v>
      </c>
      <c r="N22" s="181" t="s">
        <v>393</v>
      </c>
      <c r="O22" s="262" t="s">
        <v>22</v>
      </c>
      <c r="P22" s="174" t="s">
        <v>104</v>
      </c>
      <c r="Q22" s="175" t="s">
        <v>104</v>
      </c>
      <c r="R22" s="407" t="s">
        <v>104</v>
      </c>
      <c r="S22" s="401" t="s">
        <v>104</v>
      </c>
      <c r="T22" s="400" t="s">
        <v>104</v>
      </c>
      <c r="U22" s="401" t="s">
        <v>104</v>
      </c>
      <c r="V22" s="385">
        <v>44351</v>
      </c>
      <c r="W22" s="640" t="e">
        <f>#REF!-D22</f>
        <v>#REF!</v>
      </c>
      <c r="X22" s="652" t="s">
        <v>104</v>
      </c>
      <c r="Y22" s="656" t="s">
        <v>104</v>
      </c>
      <c r="Z22" s="653" t="s">
        <v>104</v>
      </c>
      <c r="AA22" s="656" t="s">
        <v>104</v>
      </c>
      <c r="AB22" s="654">
        <v>44351</v>
      </c>
      <c r="AC22" s="648"/>
    </row>
    <row r="23" spans="1:29" ht="50.1" customHeight="1" x14ac:dyDescent="0.25">
      <c r="A23" s="18">
        <f t="shared" si="1"/>
        <v>11</v>
      </c>
      <c r="B23" s="102">
        <f>'2DEMOGRAPHICS'!B23</f>
        <v>11</v>
      </c>
      <c r="C23" s="104" t="str">
        <f>'2DEMOGRAPHICS'!C23</f>
        <v>aaaaa11111aaaaa</v>
      </c>
      <c r="D23" s="103">
        <f>'2DEMOGRAPHICS'!D23</f>
        <v>44378</v>
      </c>
      <c r="E23" s="247" t="s">
        <v>394</v>
      </c>
      <c r="F23" s="246" t="s">
        <v>22</v>
      </c>
      <c r="G23" s="103">
        <f>'2DEMOGRAPHICS'!E23</f>
        <v>44379</v>
      </c>
      <c r="H23" s="173" t="s">
        <v>100</v>
      </c>
      <c r="I23" s="263" t="s">
        <v>22</v>
      </c>
      <c r="J23" s="246" t="s">
        <v>22</v>
      </c>
      <c r="K23" s="105" t="s">
        <v>100</v>
      </c>
      <c r="L23" s="87" t="s">
        <v>403</v>
      </c>
      <c r="M23" s="261" t="s">
        <v>22</v>
      </c>
      <c r="N23" s="181" t="s">
        <v>387</v>
      </c>
      <c r="O23" s="262" t="s">
        <v>22</v>
      </c>
      <c r="P23" s="174" t="s">
        <v>100</v>
      </c>
      <c r="Q23" s="175" t="s">
        <v>100</v>
      </c>
      <c r="R23" s="407" t="s">
        <v>100</v>
      </c>
      <c r="S23" s="401" t="s">
        <v>100</v>
      </c>
      <c r="T23" s="400" t="s">
        <v>100</v>
      </c>
      <c r="U23" s="401" t="s">
        <v>100</v>
      </c>
      <c r="V23" s="385">
        <v>44379</v>
      </c>
      <c r="W23" s="640" t="e">
        <f>#REF!-D23</f>
        <v>#REF!</v>
      </c>
      <c r="X23" s="652" t="s">
        <v>100</v>
      </c>
      <c r="Y23" s="656" t="s">
        <v>100</v>
      </c>
      <c r="Z23" s="653" t="s">
        <v>100</v>
      </c>
      <c r="AA23" s="656" t="s">
        <v>100</v>
      </c>
      <c r="AB23" s="654">
        <v>44379</v>
      </c>
      <c r="AC23" s="648"/>
    </row>
    <row r="24" spans="1:29" ht="50.1" customHeight="1" x14ac:dyDescent="0.25">
      <c r="A24" s="18">
        <f t="shared" si="0"/>
        <v>12</v>
      </c>
      <c r="B24" s="102">
        <f>'2DEMOGRAPHICS'!B24</f>
        <v>12</v>
      </c>
      <c r="C24" s="104" t="str">
        <f>'2DEMOGRAPHICS'!C24</f>
        <v>aaaaa11111aaaaa</v>
      </c>
      <c r="D24" s="103">
        <f>'2DEMOGRAPHICS'!D24</f>
        <v>44409</v>
      </c>
      <c r="E24" s="247" t="s">
        <v>398</v>
      </c>
      <c r="F24" s="246" t="s">
        <v>22</v>
      </c>
      <c r="G24" s="103">
        <f>'2DEMOGRAPHICS'!E24</f>
        <v>44412</v>
      </c>
      <c r="H24" s="173" t="s">
        <v>104</v>
      </c>
      <c r="I24" s="263" t="s">
        <v>22</v>
      </c>
      <c r="J24" s="246" t="s">
        <v>22</v>
      </c>
      <c r="K24" s="105" t="s">
        <v>104</v>
      </c>
      <c r="L24" s="87" t="s">
        <v>405</v>
      </c>
      <c r="M24" s="261" t="s">
        <v>22</v>
      </c>
      <c r="N24" s="181" t="s">
        <v>390</v>
      </c>
      <c r="O24" s="262" t="s">
        <v>22</v>
      </c>
      <c r="P24" s="174" t="s">
        <v>104</v>
      </c>
      <c r="Q24" s="175" t="s">
        <v>104</v>
      </c>
      <c r="R24" s="407" t="s">
        <v>104</v>
      </c>
      <c r="S24" s="401" t="s">
        <v>104</v>
      </c>
      <c r="T24" s="400" t="s">
        <v>104</v>
      </c>
      <c r="U24" s="401" t="s">
        <v>104</v>
      </c>
      <c r="V24" s="385">
        <v>44412</v>
      </c>
      <c r="W24" s="640" t="e">
        <f>#REF!-D24</f>
        <v>#REF!</v>
      </c>
      <c r="X24" s="652" t="s">
        <v>104</v>
      </c>
      <c r="Y24" s="656" t="s">
        <v>104</v>
      </c>
      <c r="Z24" s="653" t="s">
        <v>104</v>
      </c>
      <c r="AA24" s="656" t="s">
        <v>104</v>
      </c>
      <c r="AB24" s="654">
        <v>44412</v>
      </c>
      <c r="AC24" s="648"/>
    </row>
    <row r="25" spans="1:29" ht="50.1" customHeight="1" x14ac:dyDescent="0.25">
      <c r="A25" s="18">
        <f t="shared" si="0"/>
        <v>13</v>
      </c>
      <c r="B25" s="102">
        <f>'2DEMOGRAPHICS'!B25</f>
        <v>13</v>
      </c>
      <c r="C25" s="104" t="str">
        <f>'2DEMOGRAPHICS'!C25</f>
        <v>aaaaa11111aaaaa</v>
      </c>
      <c r="D25" s="103">
        <f>'2DEMOGRAPHICS'!D25</f>
        <v>44075</v>
      </c>
      <c r="E25" s="247" t="s">
        <v>401</v>
      </c>
      <c r="F25" s="246" t="s">
        <v>22</v>
      </c>
      <c r="G25" s="103">
        <f>'2DEMOGRAPHICS'!E25</f>
        <v>44077</v>
      </c>
      <c r="H25" s="173" t="s">
        <v>100</v>
      </c>
      <c r="I25" s="263" t="s">
        <v>22</v>
      </c>
      <c r="J25" s="246" t="s">
        <v>22</v>
      </c>
      <c r="K25" s="105" t="s">
        <v>100</v>
      </c>
      <c r="L25" s="87" t="s">
        <v>407</v>
      </c>
      <c r="M25" s="261" t="s">
        <v>22</v>
      </c>
      <c r="N25" s="181" t="s">
        <v>393</v>
      </c>
      <c r="O25" s="262" t="s">
        <v>22</v>
      </c>
      <c r="P25" s="174" t="s">
        <v>100</v>
      </c>
      <c r="Q25" s="175" t="s">
        <v>100</v>
      </c>
      <c r="R25" s="407" t="s">
        <v>100</v>
      </c>
      <c r="S25" s="401" t="s">
        <v>100</v>
      </c>
      <c r="T25" s="400" t="s">
        <v>100</v>
      </c>
      <c r="U25" s="401" t="s">
        <v>100</v>
      </c>
      <c r="V25" s="385">
        <v>44077</v>
      </c>
      <c r="W25" s="640" t="e">
        <f>#REF!-D25</f>
        <v>#REF!</v>
      </c>
      <c r="X25" s="652" t="s">
        <v>100</v>
      </c>
      <c r="Y25" s="656" t="s">
        <v>100</v>
      </c>
      <c r="Z25" s="653" t="s">
        <v>100</v>
      </c>
      <c r="AA25" s="656" t="s">
        <v>100</v>
      </c>
      <c r="AB25" s="654">
        <v>44077</v>
      </c>
      <c r="AC25" s="648"/>
    </row>
    <row r="26" spans="1:29" ht="50.1" customHeight="1" x14ac:dyDescent="0.25">
      <c r="A26" s="18">
        <f t="shared" si="0"/>
        <v>14</v>
      </c>
      <c r="B26" s="102">
        <f>'2DEMOGRAPHICS'!B26</f>
        <v>14</v>
      </c>
      <c r="C26" s="104" t="str">
        <f>'2DEMOGRAPHICS'!C26</f>
        <v>aaaaa11111aaaaa</v>
      </c>
      <c r="D26" s="103">
        <f>'2DEMOGRAPHICS'!D26</f>
        <v>44105</v>
      </c>
      <c r="E26" s="247" t="s">
        <v>192</v>
      </c>
      <c r="F26" s="246" t="s">
        <v>22</v>
      </c>
      <c r="G26" s="103">
        <f>'2DEMOGRAPHICS'!E26</f>
        <v>44077</v>
      </c>
      <c r="H26" s="173" t="s">
        <v>104</v>
      </c>
      <c r="I26" s="263" t="s">
        <v>22</v>
      </c>
      <c r="J26" s="246" t="s">
        <v>22</v>
      </c>
      <c r="K26" s="105" t="s">
        <v>104</v>
      </c>
      <c r="L26" s="87" t="s">
        <v>410</v>
      </c>
      <c r="M26" s="261" t="s">
        <v>22</v>
      </c>
      <c r="N26" s="181" t="s">
        <v>396</v>
      </c>
      <c r="O26" s="262" t="s">
        <v>22</v>
      </c>
      <c r="P26" s="174" t="s">
        <v>104</v>
      </c>
      <c r="Q26" s="175" t="s">
        <v>104</v>
      </c>
      <c r="R26" s="407" t="s">
        <v>104</v>
      </c>
      <c r="S26" s="401" t="s">
        <v>104</v>
      </c>
      <c r="T26" s="400" t="s">
        <v>104</v>
      </c>
      <c r="U26" s="401" t="s">
        <v>104</v>
      </c>
      <c r="V26" s="385">
        <v>44077</v>
      </c>
      <c r="W26" s="640" t="e">
        <f>#REF!-D26</f>
        <v>#REF!</v>
      </c>
      <c r="X26" s="652" t="s">
        <v>104</v>
      </c>
      <c r="Y26" s="656" t="s">
        <v>104</v>
      </c>
      <c r="Z26" s="653" t="s">
        <v>104</v>
      </c>
      <c r="AA26" s="656" t="s">
        <v>104</v>
      </c>
      <c r="AB26" s="654">
        <v>44077</v>
      </c>
      <c r="AC26" s="648"/>
    </row>
    <row r="27" spans="1:29" ht="50.1" customHeight="1" x14ac:dyDescent="0.25">
      <c r="A27" s="18">
        <f t="shared" si="0"/>
        <v>15</v>
      </c>
      <c r="B27" s="102">
        <f>'2DEMOGRAPHICS'!B27</f>
        <v>15</v>
      </c>
      <c r="C27" s="104" t="str">
        <f>'2DEMOGRAPHICS'!C27</f>
        <v>aaaaa11111aaaaa</v>
      </c>
      <c r="D27" s="103">
        <f>'2DEMOGRAPHICS'!D27</f>
        <v>44136</v>
      </c>
      <c r="E27" s="247" t="s">
        <v>385</v>
      </c>
      <c r="F27" s="246" t="s">
        <v>22</v>
      </c>
      <c r="G27" s="103">
        <f>'2DEMOGRAPHICS'!E27</f>
        <v>44137</v>
      </c>
      <c r="H27" s="173" t="s">
        <v>100</v>
      </c>
      <c r="I27" s="263" t="s">
        <v>22</v>
      </c>
      <c r="J27" s="246" t="s">
        <v>22</v>
      </c>
      <c r="K27" s="105" t="s">
        <v>100</v>
      </c>
      <c r="L27" s="87" t="s">
        <v>412</v>
      </c>
      <c r="M27" s="261" t="s">
        <v>22</v>
      </c>
      <c r="N27" s="181" t="s">
        <v>400</v>
      </c>
      <c r="O27" s="262" t="s">
        <v>22</v>
      </c>
      <c r="P27" s="174" t="s">
        <v>100</v>
      </c>
      <c r="Q27" s="175" t="s">
        <v>100</v>
      </c>
      <c r="R27" s="407" t="s">
        <v>100</v>
      </c>
      <c r="S27" s="401" t="s">
        <v>100</v>
      </c>
      <c r="T27" s="400" t="s">
        <v>100</v>
      </c>
      <c r="U27" s="401" t="s">
        <v>100</v>
      </c>
      <c r="V27" s="385">
        <v>44137</v>
      </c>
      <c r="W27" s="640" t="e">
        <f>#REF!-D27</f>
        <v>#REF!</v>
      </c>
      <c r="X27" s="652" t="s">
        <v>100</v>
      </c>
      <c r="Y27" s="656" t="s">
        <v>100</v>
      </c>
      <c r="Z27" s="653" t="s">
        <v>100</v>
      </c>
      <c r="AA27" s="656" t="s">
        <v>100</v>
      </c>
      <c r="AB27" s="654">
        <v>44137</v>
      </c>
      <c r="AC27" s="648"/>
    </row>
    <row r="28" spans="1:29" ht="50.1" customHeight="1" x14ac:dyDescent="0.25">
      <c r="A28" s="18">
        <f t="shared" si="0"/>
        <v>16</v>
      </c>
      <c r="B28" s="102">
        <f>'2DEMOGRAPHICS'!B28</f>
        <v>16</v>
      </c>
      <c r="C28" s="104" t="str">
        <f>'2DEMOGRAPHICS'!C28</f>
        <v>aaaaa11111aaaaa</v>
      </c>
      <c r="D28" s="103">
        <f>'2DEMOGRAPHICS'!D28</f>
        <v>44166</v>
      </c>
      <c r="E28" s="247" t="s">
        <v>388</v>
      </c>
      <c r="F28" s="246" t="s">
        <v>22</v>
      </c>
      <c r="G28" s="103">
        <f>'2DEMOGRAPHICS'!E28</f>
        <v>44170</v>
      </c>
      <c r="H28" s="173" t="s">
        <v>104</v>
      </c>
      <c r="I28" s="263" t="s">
        <v>22</v>
      </c>
      <c r="J28" s="246" t="s">
        <v>22</v>
      </c>
      <c r="K28" s="105" t="s">
        <v>104</v>
      </c>
      <c r="L28" s="87" t="s">
        <v>414</v>
      </c>
      <c r="M28" s="261" t="s">
        <v>22</v>
      </c>
      <c r="N28" s="181" t="s">
        <v>402</v>
      </c>
      <c r="O28" s="262" t="s">
        <v>22</v>
      </c>
      <c r="P28" s="174" t="s">
        <v>104</v>
      </c>
      <c r="Q28" s="175" t="s">
        <v>104</v>
      </c>
      <c r="R28" s="407" t="s">
        <v>104</v>
      </c>
      <c r="S28" s="401" t="s">
        <v>104</v>
      </c>
      <c r="T28" s="400" t="s">
        <v>104</v>
      </c>
      <c r="U28" s="401" t="s">
        <v>104</v>
      </c>
      <c r="V28" s="385">
        <v>44170</v>
      </c>
      <c r="W28" s="640" t="e">
        <f>#REF!-D28</f>
        <v>#REF!</v>
      </c>
      <c r="X28" s="652" t="s">
        <v>104</v>
      </c>
      <c r="Y28" s="656" t="s">
        <v>104</v>
      </c>
      <c r="Z28" s="653" t="s">
        <v>104</v>
      </c>
      <c r="AA28" s="656" t="s">
        <v>104</v>
      </c>
      <c r="AB28" s="654">
        <v>44170</v>
      </c>
      <c r="AC28" s="648"/>
    </row>
    <row r="29" spans="1:29" ht="50.1" customHeight="1" x14ac:dyDescent="0.25">
      <c r="A29" s="18">
        <f t="shared" si="0"/>
        <v>17</v>
      </c>
      <c r="B29" s="102">
        <f>'2DEMOGRAPHICS'!B29</f>
        <v>17</v>
      </c>
      <c r="C29" s="104" t="str">
        <f>'2DEMOGRAPHICS'!C29</f>
        <v>aaaaa11111aaaaa</v>
      </c>
      <c r="D29" s="103">
        <f>'2DEMOGRAPHICS'!D29</f>
        <v>44197</v>
      </c>
      <c r="E29" s="247" t="s">
        <v>391</v>
      </c>
      <c r="F29" s="246" t="s">
        <v>22</v>
      </c>
      <c r="G29" s="103">
        <f>'2DEMOGRAPHICS'!E29</f>
        <v>44201</v>
      </c>
      <c r="H29" s="173" t="s">
        <v>100</v>
      </c>
      <c r="I29" s="263" t="s">
        <v>22</v>
      </c>
      <c r="J29" s="246" t="s">
        <v>22</v>
      </c>
      <c r="K29" s="105" t="s">
        <v>100</v>
      </c>
      <c r="L29" s="87" t="s">
        <v>416</v>
      </c>
      <c r="M29" s="261" t="s">
        <v>22</v>
      </c>
      <c r="N29" s="181" t="s">
        <v>654</v>
      </c>
      <c r="O29" s="262" t="s">
        <v>22</v>
      </c>
      <c r="P29" s="174" t="s">
        <v>100</v>
      </c>
      <c r="Q29" s="175" t="s">
        <v>100</v>
      </c>
      <c r="R29" s="407" t="s">
        <v>100</v>
      </c>
      <c r="S29" s="401" t="s">
        <v>100</v>
      </c>
      <c r="T29" s="400" t="s">
        <v>100</v>
      </c>
      <c r="U29" s="401" t="s">
        <v>100</v>
      </c>
      <c r="V29" s="385">
        <v>44201</v>
      </c>
      <c r="W29" s="640" t="e">
        <f>#REF!-D29</f>
        <v>#REF!</v>
      </c>
      <c r="X29" s="652" t="s">
        <v>100</v>
      </c>
      <c r="Y29" s="656" t="s">
        <v>100</v>
      </c>
      <c r="Z29" s="653" t="s">
        <v>100</v>
      </c>
      <c r="AA29" s="656" t="s">
        <v>100</v>
      </c>
      <c r="AB29" s="654">
        <v>44201</v>
      </c>
      <c r="AC29" s="648"/>
    </row>
    <row r="30" spans="1:29" ht="50.1" customHeight="1" x14ac:dyDescent="0.25">
      <c r="A30" s="18">
        <f t="shared" si="0"/>
        <v>18</v>
      </c>
      <c r="B30" s="102">
        <f>'2DEMOGRAPHICS'!B30</f>
        <v>18</v>
      </c>
      <c r="C30" s="104" t="str">
        <f>'2DEMOGRAPHICS'!C30</f>
        <v>aaaaa11111aaaaa</v>
      </c>
      <c r="D30" s="103">
        <f>'2DEMOGRAPHICS'!D30</f>
        <v>44228</v>
      </c>
      <c r="E30" s="247" t="s">
        <v>394</v>
      </c>
      <c r="F30" s="246" t="s">
        <v>22</v>
      </c>
      <c r="G30" s="103">
        <f>'2DEMOGRAPHICS'!E30</f>
        <v>44230</v>
      </c>
      <c r="H30" s="173" t="s">
        <v>104</v>
      </c>
      <c r="I30" s="263" t="s">
        <v>22</v>
      </c>
      <c r="J30" s="246" t="s">
        <v>22</v>
      </c>
      <c r="K30" s="105" t="s">
        <v>104</v>
      </c>
      <c r="L30" s="87" t="s">
        <v>419</v>
      </c>
      <c r="M30" s="261" t="s">
        <v>22</v>
      </c>
      <c r="N30" s="181" t="s">
        <v>387</v>
      </c>
      <c r="O30" s="262" t="s">
        <v>22</v>
      </c>
      <c r="P30" s="174" t="s">
        <v>104</v>
      </c>
      <c r="Q30" s="175" t="s">
        <v>104</v>
      </c>
      <c r="R30" s="407" t="s">
        <v>104</v>
      </c>
      <c r="S30" s="401" t="s">
        <v>104</v>
      </c>
      <c r="T30" s="400" t="s">
        <v>104</v>
      </c>
      <c r="U30" s="401" t="s">
        <v>104</v>
      </c>
      <c r="V30" s="385">
        <v>44230</v>
      </c>
      <c r="W30" s="640" t="e">
        <f>#REF!-D30</f>
        <v>#REF!</v>
      </c>
      <c r="X30" s="652" t="s">
        <v>104</v>
      </c>
      <c r="Y30" s="656" t="s">
        <v>104</v>
      </c>
      <c r="Z30" s="653" t="s">
        <v>104</v>
      </c>
      <c r="AA30" s="656" t="s">
        <v>104</v>
      </c>
      <c r="AB30" s="654">
        <v>44230</v>
      </c>
      <c r="AC30" s="648"/>
    </row>
    <row r="31" spans="1:29" ht="50.1" customHeight="1" x14ac:dyDescent="0.25">
      <c r="A31" s="18">
        <f t="shared" si="0"/>
        <v>19</v>
      </c>
      <c r="B31" s="102">
        <f>'2DEMOGRAPHICS'!B31</f>
        <v>19</v>
      </c>
      <c r="C31" s="104" t="str">
        <f>'2DEMOGRAPHICS'!C31</f>
        <v>aaaaa11111aaaaa</v>
      </c>
      <c r="D31" s="103">
        <f>'2DEMOGRAPHICS'!D31</f>
        <v>44256</v>
      </c>
      <c r="E31" s="247" t="s">
        <v>398</v>
      </c>
      <c r="F31" s="246" t="s">
        <v>22</v>
      </c>
      <c r="G31" s="103">
        <f>'2DEMOGRAPHICS'!E31</f>
        <v>44259</v>
      </c>
      <c r="H31" s="173" t="s">
        <v>100</v>
      </c>
      <c r="I31" s="263" t="s">
        <v>22</v>
      </c>
      <c r="J31" s="246" t="s">
        <v>22</v>
      </c>
      <c r="K31" s="105" t="s">
        <v>100</v>
      </c>
      <c r="L31" s="87" t="s">
        <v>209</v>
      </c>
      <c r="M31" s="261" t="s">
        <v>22</v>
      </c>
      <c r="N31" s="181" t="s">
        <v>390</v>
      </c>
      <c r="O31" s="262" t="s">
        <v>22</v>
      </c>
      <c r="P31" s="174" t="s">
        <v>100</v>
      </c>
      <c r="Q31" s="175" t="s">
        <v>100</v>
      </c>
      <c r="R31" s="407" t="s">
        <v>100</v>
      </c>
      <c r="S31" s="401" t="s">
        <v>100</v>
      </c>
      <c r="T31" s="400" t="s">
        <v>100</v>
      </c>
      <c r="U31" s="401" t="s">
        <v>100</v>
      </c>
      <c r="V31" s="385">
        <v>44259</v>
      </c>
      <c r="W31" s="640" t="e">
        <f>#REF!-D31</f>
        <v>#REF!</v>
      </c>
      <c r="X31" s="652" t="s">
        <v>100</v>
      </c>
      <c r="Y31" s="656" t="s">
        <v>100</v>
      </c>
      <c r="Z31" s="653" t="s">
        <v>100</v>
      </c>
      <c r="AA31" s="656" t="s">
        <v>100</v>
      </c>
      <c r="AB31" s="654">
        <v>44259</v>
      </c>
      <c r="AC31" s="648"/>
    </row>
    <row r="32" spans="1:29" ht="50.1" customHeight="1" x14ac:dyDescent="0.25">
      <c r="A32" s="18">
        <f t="shared" si="0"/>
        <v>20</v>
      </c>
      <c r="B32" s="102">
        <f>'2DEMOGRAPHICS'!B32</f>
        <v>20</v>
      </c>
      <c r="C32" s="104" t="str">
        <f>'2DEMOGRAPHICS'!C32</f>
        <v>aaaaa11111aaaaa</v>
      </c>
      <c r="D32" s="103">
        <f>'2DEMOGRAPHICS'!D32</f>
        <v>44287</v>
      </c>
      <c r="E32" s="247" t="s">
        <v>401</v>
      </c>
      <c r="F32" s="246" t="s">
        <v>22</v>
      </c>
      <c r="G32" s="103">
        <f>'2DEMOGRAPHICS'!E32</f>
        <v>44291</v>
      </c>
      <c r="H32" s="173" t="s">
        <v>104</v>
      </c>
      <c r="I32" s="263" t="s">
        <v>22</v>
      </c>
      <c r="J32" s="246" t="s">
        <v>22</v>
      </c>
      <c r="K32" s="105" t="s">
        <v>104</v>
      </c>
      <c r="L32" s="87" t="s">
        <v>403</v>
      </c>
      <c r="M32" s="261" t="s">
        <v>22</v>
      </c>
      <c r="N32" s="181" t="s">
        <v>393</v>
      </c>
      <c r="O32" s="262" t="s">
        <v>22</v>
      </c>
      <c r="P32" s="174" t="s">
        <v>104</v>
      </c>
      <c r="Q32" s="175" t="s">
        <v>104</v>
      </c>
      <c r="R32" s="407" t="s">
        <v>104</v>
      </c>
      <c r="S32" s="401" t="s">
        <v>104</v>
      </c>
      <c r="T32" s="400" t="s">
        <v>104</v>
      </c>
      <c r="U32" s="401" t="s">
        <v>104</v>
      </c>
      <c r="V32" s="385">
        <v>44291</v>
      </c>
      <c r="W32" s="640" t="e">
        <f>#REF!-D32</f>
        <v>#REF!</v>
      </c>
      <c r="X32" s="652" t="s">
        <v>104</v>
      </c>
      <c r="Y32" s="656" t="s">
        <v>104</v>
      </c>
      <c r="Z32" s="653" t="s">
        <v>104</v>
      </c>
      <c r="AA32" s="656" t="s">
        <v>104</v>
      </c>
      <c r="AB32" s="654">
        <v>44291</v>
      </c>
      <c r="AC32" s="648"/>
    </row>
    <row r="33" spans="1:29" ht="50.1" customHeight="1" x14ac:dyDescent="0.25">
      <c r="A33" s="18">
        <f t="shared" si="0"/>
        <v>21</v>
      </c>
      <c r="B33" s="102">
        <f>'2DEMOGRAPHICS'!B33</f>
        <v>21</v>
      </c>
      <c r="C33" s="104" t="str">
        <f>'2DEMOGRAPHICS'!C33</f>
        <v>aaaaa11111aaaaa</v>
      </c>
      <c r="D33" s="103">
        <f>'2DEMOGRAPHICS'!D33</f>
        <v>44317</v>
      </c>
      <c r="E33" s="247" t="s">
        <v>192</v>
      </c>
      <c r="F33" s="246" t="s">
        <v>22</v>
      </c>
      <c r="G33" s="103">
        <f>'2DEMOGRAPHICS'!E33</f>
        <v>44319</v>
      </c>
      <c r="H33" s="173" t="s">
        <v>100</v>
      </c>
      <c r="I33" s="263" t="s">
        <v>22</v>
      </c>
      <c r="J33" s="246" t="s">
        <v>22</v>
      </c>
      <c r="K33" s="105" t="s">
        <v>100</v>
      </c>
      <c r="L33" s="87" t="s">
        <v>403</v>
      </c>
      <c r="M33" s="261" t="s">
        <v>22</v>
      </c>
      <c r="N33" s="181" t="s">
        <v>387</v>
      </c>
      <c r="O33" s="262" t="s">
        <v>22</v>
      </c>
      <c r="P33" s="174" t="s">
        <v>100</v>
      </c>
      <c r="Q33" s="175" t="s">
        <v>100</v>
      </c>
      <c r="R33" s="407" t="s">
        <v>100</v>
      </c>
      <c r="S33" s="401" t="s">
        <v>100</v>
      </c>
      <c r="T33" s="400" t="s">
        <v>100</v>
      </c>
      <c r="U33" s="401" t="s">
        <v>100</v>
      </c>
      <c r="V33" s="385">
        <v>44319</v>
      </c>
      <c r="W33" s="640" t="e">
        <f>#REF!-D33</f>
        <v>#REF!</v>
      </c>
      <c r="X33" s="652" t="s">
        <v>100</v>
      </c>
      <c r="Y33" s="656" t="s">
        <v>100</v>
      </c>
      <c r="Z33" s="653" t="s">
        <v>100</v>
      </c>
      <c r="AA33" s="656" t="s">
        <v>100</v>
      </c>
      <c r="AB33" s="654">
        <v>44319</v>
      </c>
      <c r="AC33" s="648"/>
    </row>
    <row r="34" spans="1:29" ht="50.1" customHeight="1" x14ac:dyDescent="0.25">
      <c r="A34" s="18">
        <f t="shared" si="0"/>
        <v>22</v>
      </c>
      <c r="B34" s="102">
        <f>'2DEMOGRAPHICS'!B34</f>
        <v>22</v>
      </c>
      <c r="C34" s="104" t="str">
        <f>'2DEMOGRAPHICS'!C34</f>
        <v>aaaaa11111aaaaa</v>
      </c>
      <c r="D34" s="103">
        <f>'2DEMOGRAPHICS'!D34</f>
        <v>44348</v>
      </c>
      <c r="E34" s="247" t="s">
        <v>385</v>
      </c>
      <c r="F34" s="246" t="s">
        <v>22</v>
      </c>
      <c r="G34" s="103">
        <f>'2DEMOGRAPHICS'!E34</f>
        <v>44351</v>
      </c>
      <c r="H34" s="173" t="s">
        <v>104</v>
      </c>
      <c r="I34" s="263" t="s">
        <v>22</v>
      </c>
      <c r="J34" s="246" t="s">
        <v>22</v>
      </c>
      <c r="K34" s="105" t="s">
        <v>104</v>
      </c>
      <c r="L34" s="87" t="s">
        <v>405</v>
      </c>
      <c r="M34" s="261" t="s">
        <v>22</v>
      </c>
      <c r="N34" s="181" t="s">
        <v>390</v>
      </c>
      <c r="O34" s="262" t="s">
        <v>22</v>
      </c>
      <c r="P34" s="174" t="s">
        <v>104</v>
      </c>
      <c r="Q34" s="175" t="s">
        <v>104</v>
      </c>
      <c r="R34" s="407" t="s">
        <v>104</v>
      </c>
      <c r="S34" s="401" t="s">
        <v>104</v>
      </c>
      <c r="T34" s="400" t="s">
        <v>104</v>
      </c>
      <c r="U34" s="401" t="s">
        <v>104</v>
      </c>
      <c r="V34" s="385">
        <v>44351</v>
      </c>
      <c r="W34" s="640" t="e">
        <f>#REF!-D34</f>
        <v>#REF!</v>
      </c>
      <c r="X34" s="652" t="s">
        <v>104</v>
      </c>
      <c r="Y34" s="656" t="s">
        <v>104</v>
      </c>
      <c r="Z34" s="653" t="s">
        <v>104</v>
      </c>
      <c r="AA34" s="656" t="s">
        <v>104</v>
      </c>
      <c r="AB34" s="654">
        <v>44351</v>
      </c>
      <c r="AC34" s="648"/>
    </row>
    <row r="35" spans="1:29" ht="50.1" customHeight="1" x14ac:dyDescent="0.25">
      <c r="A35" s="18">
        <f t="shared" si="0"/>
        <v>23</v>
      </c>
      <c r="B35" s="102">
        <f>'2DEMOGRAPHICS'!B35</f>
        <v>23</v>
      </c>
      <c r="C35" s="104" t="str">
        <f>'2DEMOGRAPHICS'!C35</f>
        <v>aaaaa11111aaaaa</v>
      </c>
      <c r="D35" s="103">
        <f>'2DEMOGRAPHICS'!D35</f>
        <v>44378</v>
      </c>
      <c r="E35" s="247" t="s">
        <v>388</v>
      </c>
      <c r="F35" s="246" t="s">
        <v>22</v>
      </c>
      <c r="G35" s="103">
        <f>'2DEMOGRAPHICS'!E35</f>
        <v>44379</v>
      </c>
      <c r="H35" s="173" t="s">
        <v>100</v>
      </c>
      <c r="I35" s="263" t="s">
        <v>22</v>
      </c>
      <c r="J35" s="246" t="s">
        <v>22</v>
      </c>
      <c r="K35" s="105" t="s">
        <v>100</v>
      </c>
      <c r="L35" s="87" t="s">
        <v>407</v>
      </c>
      <c r="M35" s="261" t="s">
        <v>22</v>
      </c>
      <c r="N35" s="181" t="s">
        <v>393</v>
      </c>
      <c r="O35" s="262" t="s">
        <v>22</v>
      </c>
      <c r="P35" s="174" t="s">
        <v>100</v>
      </c>
      <c r="Q35" s="175" t="s">
        <v>100</v>
      </c>
      <c r="R35" s="407" t="s">
        <v>100</v>
      </c>
      <c r="S35" s="401" t="s">
        <v>100</v>
      </c>
      <c r="T35" s="400" t="s">
        <v>100</v>
      </c>
      <c r="U35" s="401" t="s">
        <v>100</v>
      </c>
      <c r="V35" s="385">
        <v>44379</v>
      </c>
      <c r="W35" s="640" t="e">
        <f>#REF!-D35</f>
        <v>#REF!</v>
      </c>
      <c r="X35" s="652" t="s">
        <v>100</v>
      </c>
      <c r="Y35" s="656" t="s">
        <v>100</v>
      </c>
      <c r="Z35" s="653" t="s">
        <v>100</v>
      </c>
      <c r="AA35" s="656" t="s">
        <v>100</v>
      </c>
      <c r="AB35" s="654">
        <v>44379</v>
      </c>
      <c r="AC35" s="648"/>
    </row>
    <row r="36" spans="1:29" ht="50.1" customHeight="1" x14ac:dyDescent="0.25">
      <c r="A36" s="18">
        <f t="shared" si="0"/>
        <v>24</v>
      </c>
      <c r="B36" s="102">
        <f>'2DEMOGRAPHICS'!B36</f>
        <v>24</v>
      </c>
      <c r="C36" s="104" t="str">
        <f>'2DEMOGRAPHICS'!C36</f>
        <v>aaaaa11111aaaaa</v>
      </c>
      <c r="D36" s="103">
        <f>'2DEMOGRAPHICS'!D36</f>
        <v>44409</v>
      </c>
      <c r="E36" s="247" t="s">
        <v>391</v>
      </c>
      <c r="F36" s="246" t="s">
        <v>22</v>
      </c>
      <c r="G36" s="103">
        <f>'2DEMOGRAPHICS'!E36</f>
        <v>44412</v>
      </c>
      <c r="H36" s="173" t="s">
        <v>104</v>
      </c>
      <c r="I36" s="263" t="s">
        <v>22</v>
      </c>
      <c r="J36" s="246" t="s">
        <v>22</v>
      </c>
      <c r="K36" s="105" t="s">
        <v>104</v>
      </c>
      <c r="L36" s="87" t="s">
        <v>410</v>
      </c>
      <c r="M36" s="261" t="s">
        <v>22</v>
      </c>
      <c r="N36" s="181" t="s">
        <v>396</v>
      </c>
      <c r="O36" s="262" t="s">
        <v>22</v>
      </c>
      <c r="P36" s="174" t="s">
        <v>104</v>
      </c>
      <c r="Q36" s="175" t="s">
        <v>104</v>
      </c>
      <c r="R36" s="407" t="s">
        <v>104</v>
      </c>
      <c r="S36" s="401" t="s">
        <v>104</v>
      </c>
      <c r="T36" s="400" t="s">
        <v>104</v>
      </c>
      <c r="U36" s="401" t="s">
        <v>104</v>
      </c>
      <c r="V36" s="385">
        <v>44412</v>
      </c>
      <c r="W36" s="640" t="e">
        <f>#REF!-D36</f>
        <v>#REF!</v>
      </c>
      <c r="X36" s="652" t="s">
        <v>104</v>
      </c>
      <c r="Y36" s="656" t="s">
        <v>104</v>
      </c>
      <c r="Z36" s="653" t="s">
        <v>104</v>
      </c>
      <c r="AA36" s="656" t="s">
        <v>104</v>
      </c>
      <c r="AB36" s="654">
        <v>44412</v>
      </c>
      <c r="AC36" s="648"/>
    </row>
    <row r="37" spans="1:29" ht="50.1" customHeight="1" x14ac:dyDescent="0.25">
      <c r="A37" s="18">
        <f t="shared" si="0"/>
        <v>25</v>
      </c>
      <c r="B37" s="102">
        <f>'2DEMOGRAPHICS'!B37</f>
        <v>25</v>
      </c>
      <c r="C37" s="104" t="str">
        <f>'2DEMOGRAPHICS'!C37</f>
        <v>aaaaa11111aaaaa</v>
      </c>
      <c r="D37" s="103">
        <f>'2DEMOGRAPHICS'!D37</f>
        <v>44075</v>
      </c>
      <c r="E37" s="247" t="s">
        <v>192</v>
      </c>
      <c r="F37" s="246" t="s">
        <v>22</v>
      </c>
      <c r="G37" s="103">
        <f>'2DEMOGRAPHICS'!E37</f>
        <v>44077</v>
      </c>
      <c r="H37" s="173" t="s">
        <v>100</v>
      </c>
      <c r="I37" s="263" t="s">
        <v>22</v>
      </c>
      <c r="J37" s="246" t="s">
        <v>22</v>
      </c>
      <c r="K37" s="105" t="s">
        <v>100</v>
      </c>
      <c r="L37" s="87" t="s">
        <v>412</v>
      </c>
      <c r="M37" s="261" t="s">
        <v>22</v>
      </c>
      <c r="N37" s="181" t="s">
        <v>400</v>
      </c>
      <c r="O37" s="262" t="s">
        <v>22</v>
      </c>
      <c r="P37" s="174" t="s">
        <v>100</v>
      </c>
      <c r="Q37" s="175" t="s">
        <v>100</v>
      </c>
      <c r="R37" s="407" t="s">
        <v>100</v>
      </c>
      <c r="S37" s="401" t="s">
        <v>100</v>
      </c>
      <c r="T37" s="400" t="s">
        <v>100</v>
      </c>
      <c r="U37" s="401" t="s">
        <v>100</v>
      </c>
      <c r="V37" s="385">
        <v>44077</v>
      </c>
      <c r="W37" s="640" t="e">
        <f>#REF!-D37</f>
        <v>#REF!</v>
      </c>
      <c r="X37" s="652" t="s">
        <v>100</v>
      </c>
      <c r="Y37" s="656" t="s">
        <v>100</v>
      </c>
      <c r="Z37" s="653" t="s">
        <v>100</v>
      </c>
      <c r="AA37" s="656" t="s">
        <v>100</v>
      </c>
      <c r="AB37" s="654">
        <v>44077</v>
      </c>
      <c r="AC37" s="648"/>
    </row>
    <row r="38" spans="1:29" ht="50.1" customHeight="1" x14ac:dyDescent="0.25">
      <c r="A38" s="18">
        <f t="shared" si="0"/>
        <v>26</v>
      </c>
      <c r="B38" s="102">
        <f>'2DEMOGRAPHICS'!B38</f>
        <v>26</v>
      </c>
      <c r="C38" s="104" t="str">
        <f>'2DEMOGRAPHICS'!C38</f>
        <v>aaaaa11111aaaaa</v>
      </c>
      <c r="D38" s="103">
        <f>'2DEMOGRAPHICS'!D38</f>
        <v>44105</v>
      </c>
      <c r="E38" s="247" t="s">
        <v>385</v>
      </c>
      <c r="F38" s="246" t="s">
        <v>22</v>
      </c>
      <c r="G38" s="103">
        <f>'2DEMOGRAPHICS'!E38</f>
        <v>44077</v>
      </c>
      <c r="H38" s="173" t="s">
        <v>104</v>
      </c>
      <c r="I38" s="263" t="s">
        <v>22</v>
      </c>
      <c r="J38" s="246" t="s">
        <v>22</v>
      </c>
      <c r="K38" s="105" t="s">
        <v>104</v>
      </c>
      <c r="L38" s="87" t="s">
        <v>414</v>
      </c>
      <c r="M38" s="261" t="s">
        <v>22</v>
      </c>
      <c r="N38" s="181" t="s">
        <v>402</v>
      </c>
      <c r="O38" s="262" t="s">
        <v>22</v>
      </c>
      <c r="P38" s="174" t="s">
        <v>104</v>
      </c>
      <c r="Q38" s="175" t="s">
        <v>104</v>
      </c>
      <c r="R38" s="407" t="s">
        <v>104</v>
      </c>
      <c r="S38" s="401" t="s">
        <v>104</v>
      </c>
      <c r="T38" s="400" t="s">
        <v>104</v>
      </c>
      <c r="U38" s="401" t="s">
        <v>104</v>
      </c>
      <c r="V38" s="385">
        <v>44107</v>
      </c>
      <c r="W38" s="640" t="e">
        <f>#REF!-D38</f>
        <v>#REF!</v>
      </c>
      <c r="X38" s="652" t="s">
        <v>104</v>
      </c>
      <c r="Y38" s="656" t="s">
        <v>104</v>
      </c>
      <c r="Z38" s="653" t="s">
        <v>104</v>
      </c>
      <c r="AA38" s="656" t="s">
        <v>104</v>
      </c>
      <c r="AB38" s="654">
        <v>44107</v>
      </c>
      <c r="AC38" s="648"/>
    </row>
    <row r="39" spans="1:29" ht="50.1" customHeight="1" x14ac:dyDescent="0.25">
      <c r="A39" s="18">
        <f t="shared" si="0"/>
        <v>27</v>
      </c>
      <c r="B39" s="102">
        <f>'2DEMOGRAPHICS'!B39</f>
        <v>27</v>
      </c>
      <c r="C39" s="104" t="str">
        <f>'2DEMOGRAPHICS'!C39</f>
        <v>aaaaa11111aaaaa</v>
      </c>
      <c r="D39" s="103">
        <f>'2DEMOGRAPHICS'!D39</f>
        <v>44136</v>
      </c>
      <c r="E39" s="247" t="s">
        <v>388</v>
      </c>
      <c r="F39" s="246" t="s">
        <v>22</v>
      </c>
      <c r="G39" s="103">
        <f>'2DEMOGRAPHICS'!E39</f>
        <v>44137</v>
      </c>
      <c r="H39" s="173" t="s">
        <v>100</v>
      </c>
      <c r="I39" s="263" t="s">
        <v>22</v>
      </c>
      <c r="J39" s="246" t="s">
        <v>22</v>
      </c>
      <c r="K39" s="105" t="s">
        <v>100</v>
      </c>
      <c r="L39" s="87" t="s">
        <v>416</v>
      </c>
      <c r="M39" s="261" t="s">
        <v>22</v>
      </c>
      <c r="N39" s="181" t="s">
        <v>654</v>
      </c>
      <c r="O39" s="262" t="s">
        <v>22</v>
      </c>
      <c r="P39" s="174" t="s">
        <v>100</v>
      </c>
      <c r="Q39" s="175" t="s">
        <v>100</v>
      </c>
      <c r="R39" s="407" t="s">
        <v>100</v>
      </c>
      <c r="S39" s="401" t="s">
        <v>100</v>
      </c>
      <c r="T39" s="400" t="s">
        <v>100</v>
      </c>
      <c r="U39" s="401" t="s">
        <v>100</v>
      </c>
      <c r="V39" s="385">
        <v>44137</v>
      </c>
      <c r="W39" s="640" t="e">
        <f>#REF!-D39</f>
        <v>#REF!</v>
      </c>
      <c r="X39" s="652" t="s">
        <v>100</v>
      </c>
      <c r="Y39" s="656" t="s">
        <v>100</v>
      </c>
      <c r="Z39" s="653" t="s">
        <v>100</v>
      </c>
      <c r="AA39" s="656" t="s">
        <v>100</v>
      </c>
      <c r="AB39" s="654">
        <v>44137</v>
      </c>
      <c r="AC39" s="648"/>
    </row>
    <row r="40" spans="1:29" ht="50.1" customHeight="1" x14ac:dyDescent="0.25">
      <c r="A40" s="18">
        <f t="shared" si="0"/>
        <v>28</v>
      </c>
      <c r="B40" s="102">
        <f>'2DEMOGRAPHICS'!B40</f>
        <v>28</v>
      </c>
      <c r="C40" s="104" t="str">
        <f>'2DEMOGRAPHICS'!C40</f>
        <v>aaaaa11111aaaaa</v>
      </c>
      <c r="D40" s="103">
        <f>'2DEMOGRAPHICS'!D40</f>
        <v>44166</v>
      </c>
      <c r="E40" s="247" t="s">
        <v>391</v>
      </c>
      <c r="F40" s="246" t="s">
        <v>22</v>
      </c>
      <c r="G40" s="103">
        <f>'2DEMOGRAPHICS'!E40</f>
        <v>44170</v>
      </c>
      <c r="H40" s="173" t="s">
        <v>104</v>
      </c>
      <c r="I40" s="263" t="s">
        <v>22</v>
      </c>
      <c r="J40" s="246" t="s">
        <v>22</v>
      </c>
      <c r="K40" s="105" t="s">
        <v>104</v>
      </c>
      <c r="L40" s="87" t="s">
        <v>419</v>
      </c>
      <c r="M40" s="261" t="s">
        <v>22</v>
      </c>
      <c r="N40" s="181" t="s">
        <v>387</v>
      </c>
      <c r="O40" s="262" t="s">
        <v>22</v>
      </c>
      <c r="P40" s="174" t="s">
        <v>104</v>
      </c>
      <c r="Q40" s="175" t="s">
        <v>104</v>
      </c>
      <c r="R40" s="407" t="s">
        <v>104</v>
      </c>
      <c r="S40" s="401" t="s">
        <v>104</v>
      </c>
      <c r="T40" s="400" t="s">
        <v>104</v>
      </c>
      <c r="U40" s="401" t="s">
        <v>104</v>
      </c>
      <c r="V40" s="385">
        <v>44170</v>
      </c>
      <c r="W40" s="640" t="e">
        <f>#REF!-D40</f>
        <v>#REF!</v>
      </c>
      <c r="X40" s="652" t="s">
        <v>104</v>
      </c>
      <c r="Y40" s="656" t="s">
        <v>104</v>
      </c>
      <c r="Z40" s="653" t="s">
        <v>104</v>
      </c>
      <c r="AA40" s="656" t="s">
        <v>104</v>
      </c>
      <c r="AB40" s="654">
        <v>44170</v>
      </c>
      <c r="AC40" s="648"/>
    </row>
    <row r="41" spans="1:29" ht="50.1" customHeight="1" x14ac:dyDescent="0.25">
      <c r="A41" s="18">
        <f t="shared" si="0"/>
        <v>29</v>
      </c>
      <c r="B41" s="102">
        <f>'2DEMOGRAPHICS'!B41</f>
        <v>29</v>
      </c>
      <c r="C41" s="104" t="str">
        <f>'2DEMOGRAPHICS'!C41</f>
        <v>aaaaa11111aaaaa</v>
      </c>
      <c r="D41" s="103">
        <f>'2DEMOGRAPHICS'!D41</f>
        <v>44197</v>
      </c>
      <c r="E41" s="247" t="s">
        <v>394</v>
      </c>
      <c r="F41" s="246" t="s">
        <v>22</v>
      </c>
      <c r="G41" s="103">
        <f>'2DEMOGRAPHICS'!E41</f>
        <v>44201</v>
      </c>
      <c r="H41" s="173" t="s">
        <v>100</v>
      </c>
      <c r="I41" s="263" t="s">
        <v>22</v>
      </c>
      <c r="J41" s="246" t="s">
        <v>22</v>
      </c>
      <c r="K41" s="105" t="s">
        <v>100</v>
      </c>
      <c r="L41" s="87" t="s">
        <v>209</v>
      </c>
      <c r="M41" s="261" t="s">
        <v>22</v>
      </c>
      <c r="N41" s="181" t="s">
        <v>390</v>
      </c>
      <c r="O41" s="262" t="s">
        <v>22</v>
      </c>
      <c r="P41" s="174" t="s">
        <v>100</v>
      </c>
      <c r="Q41" s="175" t="s">
        <v>100</v>
      </c>
      <c r="R41" s="407" t="s">
        <v>100</v>
      </c>
      <c r="S41" s="401" t="s">
        <v>100</v>
      </c>
      <c r="T41" s="400" t="s">
        <v>100</v>
      </c>
      <c r="U41" s="401" t="s">
        <v>100</v>
      </c>
      <c r="V41" s="385">
        <v>44201</v>
      </c>
      <c r="W41" s="640" t="e">
        <f>#REF!-D41</f>
        <v>#REF!</v>
      </c>
      <c r="X41" s="652" t="s">
        <v>100</v>
      </c>
      <c r="Y41" s="656" t="s">
        <v>100</v>
      </c>
      <c r="Z41" s="653" t="s">
        <v>100</v>
      </c>
      <c r="AA41" s="656" t="s">
        <v>100</v>
      </c>
      <c r="AB41" s="654">
        <v>44201</v>
      </c>
      <c r="AC41" s="648"/>
    </row>
    <row r="42" spans="1:29" ht="50.1" customHeight="1" x14ac:dyDescent="0.25">
      <c r="A42" s="18">
        <f t="shared" si="0"/>
        <v>30</v>
      </c>
      <c r="B42" s="102">
        <f>'2DEMOGRAPHICS'!B42</f>
        <v>30</v>
      </c>
      <c r="C42" s="104" t="str">
        <f>'2DEMOGRAPHICS'!C42</f>
        <v>aaaaa11111aaaaa</v>
      </c>
      <c r="D42" s="103">
        <f>'2DEMOGRAPHICS'!D42</f>
        <v>44228</v>
      </c>
      <c r="E42" s="247" t="s">
        <v>398</v>
      </c>
      <c r="F42" s="246" t="s">
        <v>22</v>
      </c>
      <c r="G42" s="103">
        <f>'2DEMOGRAPHICS'!E42</f>
        <v>44230</v>
      </c>
      <c r="H42" s="173" t="s">
        <v>104</v>
      </c>
      <c r="I42" s="263" t="s">
        <v>22</v>
      </c>
      <c r="J42" s="246" t="s">
        <v>22</v>
      </c>
      <c r="K42" s="105" t="s">
        <v>104</v>
      </c>
      <c r="L42" s="87" t="s">
        <v>403</v>
      </c>
      <c r="M42" s="261" t="s">
        <v>22</v>
      </c>
      <c r="N42" s="181" t="s">
        <v>393</v>
      </c>
      <c r="O42" s="262" t="s">
        <v>22</v>
      </c>
      <c r="P42" s="174" t="s">
        <v>104</v>
      </c>
      <c r="Q42" s="175" t="s">
        <v>104</v>
      </c>
      <c r="R42" s="407" t="s">
        <v>104</v>
      </c>
      <c r="S42" s="401" t="s">
        <v>104</v>
      </c>
      <c r="T42" s="400" t="s">
        <v>104</v>
      </c>
      <c r="U42" s="401" t="s">
        <v>104</v>
      </c>
      <c r="V42" s="385">
        <v>44230</v>
      </c>
      <c r="W42" s="640" t="e">
        <f>#REF!-D42</f>
        <v>#REF!</v>
      </c>
      <c r="X42" s="652" t="s">
        <v>104</v>
      </c>
      <c r="Y42" s="656" t="s">
        <v>104</v>
      </c>
      <c r="Z42" s="653" t="s">
        <v>104</v>
      </c>
      <c r="AA42" s="656" t="s">
        <v>104</v>
      </c>
      <c r="AB42" s="654">
        <v>44230</v>
      </c>
      <c r="AC42" s="648"/>
    </row>
    <row r="43" spans="1:29" ht="50.1" customHeight="1" x14ac:dyDescent="0.25">
      <c r="A43" s="18">
        <f t="shared" si="0"/>
        <v>31</v>
      </c>
      <c r="B43" s="102">
        <f>'2DEMOGRAPHICS'!B43</f>
        <v>31</v>
      </c>
      <c r="C43" s="104" t="str">
        <f>'2DEMOGRAPHICS'!C43</f>
        <v>aaaaa11111aaaaa</v>
      </c>
      <c r="D43" s="103">
        <f>'2DEMOGRAPHICS'!D43</f>
        <v>44256</v>
      </c>
      <c r="E43" s="247" t="s">
        <v>401</v>
      </c>
      <c r="F43" s="246" t="s">
        <v>22</v>
      </c>
      <c r="G43" s="103">
        <f>'2DEMOGRAPHICS'!E43</f>
        <v>44259</v>
      </c>
      <c r="H43" s="173" t="s">
        <v>100</v>
      </c>
      <c r="I43" s="263" t="s">
        <v>22</v>
      </c>
      <c r="J43" s="246" t="s">
        <v>22</v>
      </c>
      <c r="K43" s="105" t="s">
        <v>100</v>
      </c>
      <c r="L43" s="87" t="s">
        <v>403</v>
      </c>
      <c r="M43" s="261" t="s">
        <v>22</v>
      </c>
      <c r="N43" s="181" t="s">
        <v>387</v>
      </c>
      <c r="O43" s="262" t="s">
        <v>22</v>
      </c>
      <c r="P43" s="174" t="s">
        <v>100</v>
      </c>
      <c r="Q43" s="175" t="s">
        <v>100</v>
      </c>
      <c r="R43" s="407" t="s">
        <v>100</v>
      </c>
      <c r="S43" s="401" t="s">
        <v>100</v>
      </c>
      <c r="T43" s="400" t="s">
        <v>100</v>
      </c>
      <c r="U43" s="401" t="s">
        <v>100</v>
      </c>
      <c r="V43" s="385">
        <v>44259</v>
      </c>
      <c r="W43" s="640" t="e">
        <f>#REF!-D43</f>
        <v>#REF!</v>
      </c>
      <c r="X43" s="652" t="s">
        <v>100</v>
      </c>
      <c r="Y43" s="656" t="s">
        <v>100</v>
      </c>
      <c r="Z43" s="653" t="s">
        <v>100</v>
      </c>
      <c r="AA43" s="656" t="s">
        <v>100</v>
      </c>
      <c r="AB43" s="654">
        <v>44259</v>
      </c>
      <c r="AC43" s="648"/>
    </row>
    <row r="44" spans="1:29" ht="50.1" customHeight="1" x14ac:dyDescent="0.25">
      <c r="A44" s="18">
        <f t="shared" si="0"/>
        <v>32</v>
      </c>
      <c r="B44" s="102">
        <f>'2DEMOGRAPHICS'!B44</f>
        <v>32</v>
      </c>
      <c r="C44" s="104" t="str">
        <f>'2DEMOGRAPHICS'!C44</f>
        <v>aaaaa11111aaaaa</v>
      </c>
      <c r="D44" s="103">
        <f>'2DEMOGRAPHICS'!D44</f>
        <v>44287</v>
      </c>
      <c r="E44" s="247" t="s">
        <v>192</v>
      </c>
      <c r="F44" s="246" t="s">
        <v>22</v>
      </c>
      <c r="G44" s="103">
        <f>'2DEMOGRAPHICS'!E44</f>
        <v>44291</v>
      </c>
      <c r="H44" s="173" t="s">
        <v>104</v>
      </c>
      <c r="I44" s="263" t="s">
        <v>22</v>
      </c>
      <c r="J44" s="246" t="s">
        <v>22</v>
      </c>
      <c r="K44" s="105" t="s">
        <v>104</v>
      </c>
      <c r="L44" s="87" t="s">
        <v>405</v>
      </c>
      <c r="M44" s="261" t="s">
        <v>22</v>
      </c>
      <c r="N44" s="181" t="s">
        <v>390</v>
      </c>
      <c r="O44" s="262" t="s">
        <v>22</v>
      </c>
      <c r="P44" s="174" t="s">
        <v>104</v>
      </c>
      <c r="Q44" s="175" t="s">
        <v>104</v>
      </c>
      <c r="R44" s="407" t="s">
        <v>104</v>
      </c>
      <c r="S44" s="401" t="s">
        <v>104</v>
      </c>
      <c r="T44" s="400" t="s">
        <v>104</v>
      </c>
      <c r="U44" s="401" t="s">
        <v>104</v>
      </c>
      <c r="V44" s="385">
        <v>44291</v>
      </c>
      <c r="W44" s="640" t="e">
        <f>#REF!-D44</f>
        <v>#REF!</v>
      </c>
      <c r="X44" s="652" t="s">
        <v>104</v>
      </c>
      <c r="Y44" s="656" t="s">
        <v>104</v>
      </c>
      <c r="Z44" s="653" t="s">
        <v>104</v>
      </c>
      <c r="AA44" s="656" t="s">
        <v>104</v>
      </c>
      <c r="AB44" s="654">
        <v>44291</v>
      </c>
      <c r="AC44" s="648"/>
    </row>
    <row r="45" spans="1:29" ht="50.1" customHeight="1" x14ac:dyDescent="0.25">
      <c r="A45" s="18">
        <f t="shared" si="0"/>
        <v>33</v>
      </c>
      <c r="B45" s="102">
        <f>'2DEMOGRAPHICS'!B45</f>
        <v>33</v>
      </c>
      <c r="C45" s="104" t="str">
        <f>'2DEMOGRAPHICS'!C45</f>
        <v>aaaaa11111aaaaa</v>
      </c>
      <c r="D45" s="103">
        <f>'2DEMOGRAPHICS'!D45</f>
        <v>44317</v>
      </c>
      <c r="E45" s="247" t="s">
        <v>192</v>
      </c>
      <c r="F45" s="246" t="s">
        <v>22</v>
      </c>
      <c r="G45" s="103">
        <f>'2DEMOGRAPHICS'!E45</f>
        <v>44319</v>
      </c>
      <c r="H45" s="173" t="s">
        <v>100</v>
      </c>
      <c r="I45" s="263" t="s">
        <v>22</v>
      </c>
      <c r="J45" s="246" t="s">
        <v>22</v>
      </c>
      <c r="K45" s="105" t="s">
        <v>100</v>
      </c>
      <c r="L45" s="87" t="s">
        <v>407</v>
      </c>
      <c r="M45" s="261" t="s">
        <v>22</v>
      </c>
      <c r="N45" s="181" t="s">
        <v>393</v>
      </c>
      <c r="O45" s="262" t="s">
        <v>22</v>
      </c>
      <c r="P45" s="174" t="s">
        <v>100</v>
      </c>
      <c r="Q45" s="175" t="s">
        <v>100</v>
      </c>
      <c r="R45" s="407" t="s">
        <v>100</v>
      </c>
      <c r="S45" s="401" t="s">
        <v>100</v>
      </c>
      <c r="T45" s="400" t="s">
        <v>100</v>
      </c>
      <c r="U45" s="401" t="s">
        <v>100</v>
      </c>
      <c r="V45" s="385">
        <v>44319</v>
      </c>
      <c r="W45" s="640" t="e">
        <f>#REF!-D45</f>
        <v>#REF!</v>
      </c>
      <c r="X45" s="652" t="s">
        <v>100</v>
      </c>
      <c r="Y45" s="656" t="s">
        <v>100</v>
      </c>
      <c r="Z45" s="653" t="s">
        <v>100</v>
      </c>
      <c r="AA45" s="656" t="s">
        <v>100</v>
      </c>
      <c r="AB45" s="654">
        <v>44319</v>
      </c>
      <c r="AC45" s="648"/>
    </row>
    <row r="46" spans="1:29" ht="50.1" customHeight="1" x14ac:dyDescent="0.25">
      <c r="A46" s="18">
        <f t="shared" si="0"/>
        <v>34</v>
      </c>
      <c r="B46" s="102">
        <f>'2DEMOGRAPHICS'!B46</f>
        <v>34</v>
      </c>
      <c r="C46" s="104" t="str">
        <f>'2DEMOGRAPHICS'!C46</f>
        <v>aaaaa11111aaaaa</v>
      </c>
      <c r="D46" s="103">
        <f>'2DEMOGRAPHICS'!D46</f>
        <v>44348</v>
      </c>
      <c r="E46" s="247" t="s">
        <v>385</v>
      </c>
      <c r="F46" s="246" t="s">
        <v>22</v>
      </c>
      <c r="G46" s="103">
        <f>'2DEMOGRAPHICS'!E46</f>
        <v>44351</v>
      </c>
      <c r="H46" s="173" t="s">
        <v>104</v>
      </c>
      <c r="I46" s="263" t="s">
        <v>22</v>
      </c>
      <c r="J46" s="246" t="s">
        <v>22</v>
      </c>
      <c r="K46" s="105" t="s">
        <v>104</v>
      </c>
      <c r="L46" s="87" t="s">
        <v>410</v>
      </c>
      <c r="M46" s="261" t="s">
        <v>22</v>
      </c>
      <c r="N46" s="181" t="s">
        <v>396</v>
      </c>
      <c r="O46" s="262" t="s">
        <v>22</v>
      </c>
      <c r="P46" s="174" t="s">
        <v>104</v>
      </c>
      <c r="Q46" s="175" t="s">
        <v>104</v>
      </c>
      <c r="R46" s="407" t="s">
        <v>104</v>
      </c>
      <c r="S46" s="401" t="s">
        <v>104</v>
      </c>
      <c r="T46" s="400" t="s">
        <v>104</v>
      </c>
      <c r="U46" s="401" t="s">
        <v>104</v>
      </c>
      <c r="V46" s="385">
        <v>44351</v>
      </c>
      <c r="W46" s="640" t="e">
        <f>#REF!-D46</f>
        <v>#REF!</v>
      </c>
      <c r="X46" s="652" t="s">
        <v>104</v>
      </c>
      <c r="Y46" s="656" t="s">
        <v>104</v>
      </c>
      <c r="Z46" s="653" t="s">
        <v>104</v>
      </c>
      <c r="AA46" s="656" t="s">
        <v>104</v>
      </c>
      <c r="AB46" s="654">
        <v>44351</v>
      </c>
      <c r="AC46" s="648"/>
    </row>
    <row r="47" spans="1:29" ht="50.1" customHeight="1" x14ac:dyDescent="0.25">
      <c r="A47" s="18">
        <f t="shared" si="0"/>
        <v>35</v>
      </c>
      <c r="B47" s="102">
        <f>'2DEMOGRAPHICS'!B47</f>
        <v>35</v>
      </c>
      <c r="C47" s="104" t="str">
        <f>'2DEMOGRAPHICS'!C47</f>
        <v>aaaaa11111aaaaa</v>
      </c>
      <c r="D47" s="103">
        <f>'2DEMOGRAPHICS'!D47</f>
        <v>44378</v>
      </c>
      <c r="E47" s="247" t="s">
        <v>388</v>
      </c>
      <c r="F47" s="246" t="s">
        <v>22</v>
      </c>
      <c r="G47" s="103">
        <f>'2DEMOGRAPHICS'!E47</f>
        <v>44379</v>
      </c>
      <c r="H47" s="173" t="s">
        <v>100</v>
      </c>
      <c r="I47" s="263" t="s">
        <v>22</v>
      </c>
      <c r="J47" s="246" t="s">
        <v>22</v>
      </c>
      <c r="K47" s="105" t="s">
        <v>100</v>
      </c>
      <c r="L47" s="87" t="s">
        <v>412</v>
      </c>
      <c r="M47" s="261" t="s">
        <v>22</v>
      </c>
      <c r="N47" s="181" t="s">
        <v>400</v>
      </c>
      <c r="O47" s="262" t="s">
        <v>22</v>
      </c>
      <c r="P47" s="174" t="s">
        <v>100</v>
      </c>
      <c r="Q47" s="175" t="s">
        <v>100</v>
      </c>
      <c r="R47" s="407" t="s">
        <v>100</v>
      </c>
      <c r="S47" s="401" t="s">
        <v>100</v>
      </c>
      <c r="T47" s="400" t="s">
        <v>100</v>
      </c>
      <c r="U47" s="401" t="s">
        <v>100</v>
      </c>
      <c r="V47" s="385">
        <v>44379</v>
      </c>
      <c r="W47" s="640" t="e">
        <f>#REF!-D47</f>
        <v>#REF!</v>
      </c>
      <c r="X47" s="652" t="s">
        <v>100</v>
      </c>
      <c r="Y47" s="656" t="s">
        <v>100</v>
      </c>
      <c r="Z47" s="653" t="s">
        <v>100</v>
      </c>
      <c r="AA47" s="656" t="s">
        <v>100</v>
      </c>
      <c r="AB47" s="654">
        <v>44379</v>
      </c>
      <c r="AC47" s="648"/>
    </row>
    <row r="48" spans="1:29" ht="50.1" customHeight="1" x14ac:dyDescent="0.25">
      <c r="A48" s="18">
        <f t="shared" si="0"/>
        <v>36</v>
      </c>
      <c r="B48" s="102">
        <f>'2DEMOGRAPHICS'!B48</f>
        <v>36</v>
      </c>
      <c r="C48" s="104" t="str">
        <f>'2DEMOGRAPHICS'!C48</f>
        <v>aaaaa11111aaaaa</v>
      </c>
      <c r="D48" s="103">
        <f>'2DEMOGRAPHICS'!D48</f>
        <v>44409</v>
      </c>
      <c r="E48" s="247" t="s">
        <v>391</v>
      </c>
      <c r="F48" s="246" t="s">
        <v>22</v>
      </c>
      <c r="G48" s="103">
        <f>'2DEMOGRAPHICS'!E48</f>
        <v>44412</v>
      </c>
      <c r="H48" s="173" t="s">
        <v>104</v>
      </c>
      <c r="I48" s="263" t="s">
        <v>22</v>
      </c>
      <c r="J48" s="246" t="s">
        <v>22</v>
      </c>
      <c r="K48" s="105" t="s">
        <v>104</v>
      </c>
      <c r="L48" s="87" t="s">
        <v>414</v>
      </c>
      <c r="M48" s="261" t="s">
        <v>22</v>
      </c>
      <c r="N48" s="181" t="s">
        <v>402</v>
      </c>
      <c r="O48" s="262" t="s">
        <v>22</v>
      </c>
      <c r="P48" s="174" t="s">
        <v>104</v>
      </c>
      <c r="Q48" s="175" t="s">
        <v>104</v>
      </c>
      <c r="R48" s="407" t="s">
        <v>104</v>
      </c>
      <c r="S48" s="401" t="s">
        <v>104</v>
      </c>
      <c r="T48" s="400" t="s">
        <v>104</v>
      </c>
      <c r="U48" s="401" t="s">
        <v>104</v>
      </c>
      <c r="V48" s="385">
        <v>44412</v>
      </c>
      <c r="W48" s="640" t="e">
        <f>#REF!-D48</f>
        <v>#REF!</v>
      </c>
      <c r="X48" s="652" t="s">
        <v>104</v>
      </c>
      <c r="Y48" s="656" t="s">
        <v>104</v>
      </c>
      <c r="Z48" s="653" t="s">
        <v>104</v>
      </c>
      <c r="AA48" s="656" t="s">
        <v>104</v>
      </c>
      <c r="AB48" s="654">
        <v>44412</v>
      </c>
      <c r="AC48" s="648"/>
    </row>
    <row r="49" spans="1:29" ht="50.1" customHeight="1" x14ac:dyDescent="0.25">
      <c r="A49" s="18">
        <f t="shared" si="0"/>
        <v>37</v>
      </c>
      <c r="B49" s="102">
        <f>'2DEMOGRAPHICS'!B49</f>
        <v>37</v>
      </c>
      <c r="C49" s="104" t="str">
        <f>'2DEMOGRAPHICS'!C49</f>
        <v>aaaaa11111aaaaa</v>
      </c>
      <c r="D49" s="103">
        <f>'2DEMOGRAPHICS'!D49</f>
        <v>44075</v>
      </c>
      <c r="E49" s="247" t="s">
        <v>394</v>
      </c>
      <c r="F49" s="246" t="s">
        <v>22</v>
      </c>
      <c r="G49" s="103">
        <f>'2DEMOGRAPHICS'!E49</f>
        <v>44077</v>
      </c>
      <c r="H49" s="173" t="s">
        <v>100</v>
      </c>
      <c r="I49" s="263" t="s">
        <v>22</v>
      </c>
      <c r="J49" s="246" t="s">
        <v>22</v>
      </c>
      <c r="K49" s="105" t="s">
        <v>100</v>
      </c>
      <c r="L49" s="87" t="s">
        <v>416</v>
      </c>
      <c r="M49" s="261" t="s">
        <v>22</v>
      </c>
      <c r="N49" s="181" t="s">
        <v>654</v>
      </c>
      <c r="O49" s="262" t="s">
        <v>22</v>
      </c>
      <c r="P49" s="174" t="s">
        <v>100</v>
      </c>
      <c r="Q49" s="175" t="s">
        <v>100</v>
      </c>
      <c r="R49" s="407" t="s">
        <v>100</v>
      </c>
      <c r="S49" s="401" t="s">
        <v>100</v>
      </c>
      <c r="T49" s="400" t="s">
        <v>100</v>
      </c>
      <c r="U49" s="401" t="s">
        <v>100</v>
      </c>
      <c r="V49" s="385">
        <v>44077</v>
      </c>
      <c r="W49" s="640" t="e">
        <f>#REF!-D49</f>
        <v>#REF!</v>
      </c>
      <c r="X49" s="652" t="s">
        <v>100</v>
      </c>
      <c r="Y49" s="656" t="s">
        <v>100</v>
      </c>
      <c r="Z49" s="653" t="s">
        <v>100</v>
      </c>
      <c r="AA49" s="656" t="s">
        <v>100</v>
      </c>
      <c r="AB49" s="654">
        <v>44077</v>
      </c>
      <c r="AC49" s="648"/>
    </row>
    <row r="50" spans="1:29" ht="50.1" customHeight="1" x14ac:dyDescent="0.25">
      <c r="A50" s="18">
        <f t="shared" si="0"/>
        <v>38</v>
      </c>
      <c r="B50" s="102">
        <f>'2DEMOGRAPHICS'!B50</f>
        <v>38</v>
      </c>
      <c r="C50" s="104" t="str">
        <f>'2DEMOGRAPHICS'!C50</f>
        <v>aaaaa11111aaaaa</v>
      </c>
      <c r="D50" s="103">
        <f>'2DEMOGRAPHICS'!D50</f>
        <v>44105</v>
      </c>
      <c r="E50" s="247" t="s">
        <v>398</v>
      </c>
      <c r="F50" s="246" t="s">
        <v>22</v>
      </c>
      <c r="G50" s="103">
        <f>'2DEMOGRAPHICS'!E50</f>
        <v>44077</v>
      </c>
      <c r="H50" s="173" t="s">
        <v>104</v>
      </c>
      <c r="I50" s="263" t="s">
        <v>22</v>
      </c>
      <c r="J50" s="246" t="s">
        <v>22</v>
      </c>
      <c r="K50" s="105" t="s">
        <v>104</v>
      </c>
      <c r="L50" s="87" t="s">
        <v>419</v>
      </c>
      <c r="M50" s="261" t="s">
        <v>22</v>
      </c>
      <c r="N50" s="181" t="s">
        <v>387</v>
      </c>
      <c r="O50" s="262" t="s">
        <v>22</v>
      </c>
      <c r="P50" s="174" t="s">
        <v>104</v>
      </c>
      <c r="Q50" s="175" t="s">
        <v>104</v>
      </c>
      <c r="R50" s="407" t="s">
        <v>104</v>
      </c>
      <c r="S50" s="401" t="s">
        <v>104</v>
      </c>
      <c r="T50" s="400" t="s">
        <v>104</v>
      </c>
      <c r="U50" s="401" t="s">
        <v>104</v>
      </c>
      <c r="V50" s="385">
        <v>44077</v>
      </c>
      <c r="W50" s="640" t="e">
        <f>#REF!-D50</f>
        <v>#REF!</v>
      </c>
      <c r="X50" s="652" t="s">
        <v>104</v>
      </c>
      <c r="Y50" s="656" t="s">
        <v>104</v>
      </c>
      <c r="Z50" s="653" t="s">
        <v>104</v>
      </c>
      <c r="AA50" s="656" t="s">
        <v>104</v>
      </c>
      <c r="AB50" s="654">
        <v>44077</v>
      </c>
      <c r="AC50" s="648"/>
    </row>
    <row r="51" spans="1:29" ht="50.1" customHeight="1" x14ac:dyDescent="0.25">
      <c r="A51" s="18">
        <f t="shared" si="0"/>
        <v>39</v>
      </c>
      <c r="B51" s="102">
        <f>'2DEMOGRAPHICS'!B51</f>
        <v>39</v>
      </c>
      <c r="C51" s="104" t="str">
        <f>'2DEMOGRAPHICS'!C51</f>
        <v>aaaaa11111aaaaa</v>
      </c>
      <c r="D51" s="103">
        <f>'2DEMOGRAPHICS'!D51</f>
        <v>44136</v>
      </c>
      <c r="E51" s="247" t="s">
        <v>401</v>
      </c>
      <c r="F51" s="246" t="s">
        <v>22</v>
      </c>
      <c r="G51" s="103">
        <f>'2DEMOGRAPHICS'!E51</f>
        <v>44137</v>
      </c>
      <c r="H51" s="173" t="s">
        <v>100</v>
      </c>
      <c r="I51" s="263" t="s">
        <v>22</v>
      </c>
      <c r="J51" s="246" t="s">
        <v>22</v>
      </c>
      <c r="K51" s="105" t="s">
        <v>100</v>
      </c>
      <c r="L51" s="87" t="s">
        <v>209</v>
      </c>
      <c r="M51" s="261" t="s">
        <v>22</v>
      </c>
      <c r="N51" s="181" t="s">
        <v>390</v>
      </c>
      <c r="O51" s="262" t="s">
        <v>22</v>
      </c>
      <c r="P51" s="174" t="s">
        <v>100</v>
      </c>
      <c r="Q51" s="175" t="s">
        <v>100</v>
      </c>
      <c r="R51" s="407" t="s">
        <v>100</v>
      </c>
      <c r="S51" s="401" t="s">
        <v>100</v>
      </c>
      <c r="T51" s="400" t="s">
        <v>100</v>
      </c>
      <c r="U51" s="401" t="s">
        <v>100</v>
      </c>
      <c r="V51" s="385">
        <v>44137</v>
      </c>
      <c r="W51" s="640" t="e">
        <f>#REF!-D51</f>
        <v>#REF!</v>
      </c>
      <c r="X51" s="652" t="s">
        <v>100</v>
      </c>
      <c r="Y51" s="656" t="s">
        <v>100</v>
      </c>
      <c r="Z51" s="653" t="s">
        <v>100</v>
      </c>
      <c r="AA51" s="656" t="s">
        <v>100</v>
      </c>
      <c r="AB51" s="654">
        <v>44137</v>
      </c>
      <c r="AC51" s="648"/>
    </row>
    <row r="52" spans="1:29" ht="50.1" customHeight="1" x14ac:dyDescent="0.25">
      <c r="A52" s="18">
        <f t="shared" si="0"/>
        <v>40</v>
      </c>
      <c r="B52" s="102">
        <f>'2DEMOGRAPHICS'!B52</f>
        <v>40</v>
      </c>
      <c r="C52" s="104" t="str">
        <f>'2DEMOGRAPHICS'!C52</f>
        <v>aaaaa11111aaaaa</v>
      </c>
      <c r="D52" s="103">
        <f>'2DEMOGRAPHICS'!D52</f>
        <v>44166</v>
      </c>
      <c r="E52" s="247" t="s">
        <v>192</v>
      </c>
      <c r="F52" s="246" t="s">
        <v>22</v>
      </c>
      <c r="G52" s="103">
        <f>'2DEMOGRAPHICS'!E52</f>
        <v>44170</v>
      </c>
      <c r="H52" s="173" t="s">
        <v>104</v>
      </c>
      <c r="I52" s="263" t="s">
        <v>22</v>
      </c>
      <c r="J52" s="246" t="s">
        <v>22</v>
      </c>
      <c r="K52" s="105" t="s">
        <v>104</v>
      </c>
      <c r="L52" s="87" t="s">
        <v>403</v>
      </c>
      <c r="M52" s="261" t="s">
        <v>22</v>
      </c>
      <c r="N52" s="181" t="s">
        <v>393</v>
      </c>
      <c r="O52" s="262" t="s">
        <v>22</v>
      </c>
      <c r="P52" s="174" t="s">
        <v>104</v>
      </c>
      <c r="Q52" s="175" t="s">
        <v>104</v>
      </c>
      <c r="R52" s="407" t="s">
        <v>104</v>
      </c>
      <c r="S52" s="401" t="s">
        <v>104</v>
      </c>
      <c r="T52" s="400" t="s">
        <v>104</v>
      </c>
      <c r="U52" s="401" t="s">
        <v>104</v>
      </c>
      <c r="V52" s="385">
        <v>44170</v>
      </c>
      <c r="W52" s="640" t="e">
        <f>#REF!-D52</f>
        <v>#REF!</v>
      </c>
      <c r="X52" s="652" t="s">
        <v>104</v>
      </c>
      <c r="Y52" s="656" t="s">
        <v>104</v>
      </c>
      <c r="Z52" s="653" t="s">
        <v>104</v>
      </c>
      <c r="AA52" s="656" t="s">
        <v>104</v>
      </c>
      <c r="AB52" s="654">
        <v>44170</v>
      </c>
      <c r="AC52" s="648"/>
    </row>
    <row r="53" spans="1:29" ht="50.1" customHeight="1" x14ac:dyDescent="0.25">
      <c r="A53" s="18">
        <f t="shared" si="0"/>
        <v>41</v>
      </c>
      <c r="B53" s="102">
        <f>'2DEMOGRAPHICS'!B53</f>
        <v>41</v>
      </c>
      <c r="C53" s="104" t="str">
        <f>'2DEMOGRAPHICS'!C53</f>
        <v>aaaaa11111aaaaa</v>
      </c>
      <c r="D53" s="103">
        <f>'2DEMOGRAPHICS'!D53</f>
        <v>44197</v>
      </c>
      <c r="E53" s="247" t="s">
        <v>192</v>
      </c>
      <c r="F53" s="246" t="s">
        <v>22</v>
      </c>
      <c r="G53" s="103">
        <f>'2DEMOGRAPHICS'!E53</f>
        <v>44201</v>
      </c>
      <c r="H53" s="173" t="s">
        <v>100</v>
      </c>
      <c r="I53" s="263" t="s">
        <v>22</v>
      </c>
      <c r="J53" s="246" t="s">
        <v>22</v>
      </c>
      <c r="K53" s="105" t="s">
        <v>100</v>
      </c>
      <c r="L53" s="183" t="s">
        <v>403</v>
      </c>
      <c r="M53" s="261" t="s">
        <v>22</v>
      </c>
      <c r="N53" s="181" t="s">
        <v>387</v>
      </c>
      <c r="O53" s="262" t="s">
        <v>22</v>
      </c>
      <c r="P53" s="174" t="s">
        <v>100</v>
      </c>
      <c r="Q53" s="175" t="s">
        <v>100</v>
      </c>
      <c r="R53" s="407" t="s">
        <v>100</v>
      </c>
      <c r="S53" s="401" t="s">
        <v>100</v>
      </c>
      <c r="T53" s="400" t="s">
        <v>100</v>
      </c>
      <c r="U53" s="401" t="s">
        <v>100</v>
      </c>
      <c r="V53" s="385">
        <v>44201</v>
      </c>
      <c r="W53" s="640" t="e">
        <f>#REF!-D53</f>
        <v>#REF!</v>
      </c>
      <c r="X53" s="652" t="s">
        <v>100</v>
      </c>
      <c r="Y53" s="656" t="s">
        <v>100</v>
      </c>
      <c r="Z53" s="653" t="s">
        <v>100</v>
      </c>
      <c r="AA53" s="656" t="s">
        <v>100</v>
      </c>
      <c r="AB53" s="654">
        <v>44201</v>
      </c>
      <c r="AC53" s="648"/>
    </row>
    <row r="54" spans="1:29" ht="50.1" customHeight="1" x14ac:dyDescent="0.25">
      <c r="A54" s="18">
        <f t="shared" si="0"/>
        <v>42</v>
      </c>
      <c r="B54" s="102">
        <f>'2DEMOGRAPHICS'!B54</f>
        <v>42</v>
      </c>
      <c r="C54" s="104" t="str">
        <f>'2DEMOGRAPHICS'!C54</f>
        <v>aaaaa11111aaaaa</v>
      </c>
      <c r="D54" s="103">
        <f>'2DEMOGRAPHICS'!D54</f>
        <v>44228</v>
      </c>
      <c r="E54" s="247" t="s">
        <v>385</v>
      </c>
      <c r="F54" s="246" t="s">
        <v>22</v>
      </c>
      <c r="G54" s="103">
        <f>'2DEMOGRAPHICS'!E54</f>
        <v>44230</v>
      </c>
      <c r="H54" s="173" t="s">
        <v>104</v>
      </c>
      <c r="I54" s="263" t="s">
        <v>22</v>
      </c>
      <c r="J54" s="246" t="s">
        <v>22</v>
      </c>
      <c r="K54" s="105" t="s">
        <v>104</v>
      </c>
      <c r="L54" s="183" t="s">
        <v>405</v>
      </c>
      <c r="M54" s="261" t="s">
        <v>22</v>
      </c>
      <c r="N54" s="181" t="s">
        <v>390</v>
      </c>
      <c r="O54" s="262" t="s">
        <v>22</v>
      </c>
      <c r="P54" s="174" t="s">
        <v>104</v>
      </c>
      <c r="Q54" s="175" t="s">
        <v>104</v>
      </c>
      <c r="R54" s="407" t="s">
        <v>104</v>
      </c>
      <c r="S54" s="401" t="s">
        <v>104</v>
      </c>
      <c r="T54" s="400" t="s">
        <v>104</v>
      </c>
      <c r="U54" s="401" t="s">
        <v>104</v>
      </c>
      <c r="V54" s="385">
        <v>44230</v>
      </c>
      <c r="W54" s="640" t="e">
        <f>#REF!-D54</f>
        <v>#REF!</v>
      </c>
      <c r="X54" s="652" t="s">
        <v>104</v>
      </c>
      <c r="Y54" s="656" t="s">
        <v>104</v>
      </c>
      <c r="Z54" s="653" t="s">
        <v>104</v>
      </c>
      <c r="AA54" s="656" t="s">
        <v>104</v>
      </c>
      <c r="AB54" s="654">
        <v>44230</v>
      </c>
      <c r="AC54" s="648"/>
    </row>
    <row r="55" spans="1:29" ht="50.1" customHeight="1" x14ac:dyDescent="0.25">
      <c r="A55" s="18">
        <f t="shared" si="0"/>
        <v>43</v>
      </c>
      <c r="B55" s="102">
        <f>'2DEMOGRAPHICS'!B55</f>
        <v>43</v>
      </c>
      <c r="C55" s="104" t="str">
        <f>'2DEMOGRAPHICS'!C55</f>
        <v>aaaaa11111aaaaa</v>
      </c>
      <c r="D55" s="103">
        <f>'2DEMOGRAPHICS'!D55</f>
        <v>44256</v>
      </c>
      <c r="E55" s="247" t="s">
        <v>388</v>
      </c>
      <c r="F55" s="246" t="s">
        <v>22</v>
      </c>
      <c r="G55" s="103">
        <f>'2DEMOGRAPHICS'!E55</f>
        <v>44259</v>
      </c>
      <c r="H55" s="173" t="s">
        <v>100</v>
      </c>
      <c r="I55" s="263" t="s">
        <v>22</v>
      </c>
      <c r="J55" s="246" t="s">
        <v>22</v>
      </c>
      <c r="K55" s="105" t="s">
        <v>100</v>
      </c>
      <c r="L55" s="183" t="s">
        <v>407</v>
      </c>
      <c r="M55" s="261" t="s">
        <v>22</v>
      </c>
      <c r="N55" s="181" t="s">
        <v>393</v>
      </c>
      <c r="O55" s="262" t="s">
        <v>22</v>
      </c>
      <c r="P55" s="174" t="s">
        <v>100</v>
      </c>
      <c r="Q55" s="175" t="s">
        <v>100</v>
      </c>
      <c r="R55" s="407" t="s">
        <v>100</v>
      </c>
      <c r="S55" s="401" t="s">
        <v>100</v>
      </c>
      <c r="T55" s="400" t="s">
        <v>100</v>
      </c>
      <c r="U55" s="401" t="s">
        <v>100</v>
      </c>
      <c r="V55" s="385">
        <v>44259</v>
      </c>
      <c r="W55" s="640" t="e">
        <f>#REF!-D55</f>
        <v>#REF!</v>
      </c>
      <c r="X55" s="652" t="s">
        <v>100</v>
      </c>
      <c r="Y55" s="656" t="s">
        <v>100</v>
      </c>
      <c r="Z55" s="653" t="s">
        <v>100</v>
      </c>
      <c r="AA55" s="656" t="s">
        <v>100</v>
      </c>
      <c r="AB55" s="654">
        <v>44259</v>
      </c>
      <c r="AC55" s="648"/>
    </row>
    <row r="56" spans="1:29" ht="50.1" customHeight="1" x14ac:dyDescent="0.25">
      <c r="A56" s="18">
        <f t="shared" si="0"/>
        <v>44</v>
      </c>
      <c r="B56" s="102">
        <f>'2DEMOGRAPHICS'!B56</f>
        <v>44</v>
      </c>
      <c r="C56" s="104" t="str">
        <f>'2DEMOGRAPHICS'!C56</f>
        <v>aaaaa11111aaaaa</v>
      </c>
      <c r="D56" s="103">
        <f>'2DEMOGRAPHICS'!D56</f>
        <v>44287</v>
      </c>
      <c r="E56" s="247" t="s">
        <v>391</v>
      </c>
      <c r="F56" s="246" t="s">
        <v>22</v>
      </c>
      <c r="G56" s="103">
        <f>'2DEMOGRAPHICS'!E56</f>
        <v>44291</v>
      </c>
      <c r="H56" s="173" t="s">
        <v>104</v>
      </c>
      <c r="I56" s="263" t="s">
        <v>22</v>
      </c>
      <c r="J56" s="246" t="s">
        <v>22</v>
      </c>
      <c r="K56" s="105" t="s">
        <v>104</v>
      </c>
      <c r="L56" s="183" t="s">
        <v>410</v>
      </c>
      <c r="M56" s="261" t="s">
        <v>22</v>
      </c>
      <c r="N56" s="181" t="s">
        <v>396</v>
      </c>
      <c r="O56" s="262" t="s">
        <v>22</v>
      </c>
      <c r="P56" s="174" t="s">
        <v>104</v>
      </c>
      <c r="Q56" s="175" t="s">
        <v>104</v>
      </c>
      <c r="R56" s="407" t="s">
        <v>104</v>
      </c>
      <c r="S56" s="401" t="s">
        <v>104</v>
      </c>
      <c r="T56" s="400" t="s">
        <v>104</v>
      </c>
      <c r="U56" s="401" t="s">
        <v>104</v>
      </c>
      <c r="V56" s="385">
        <v>44291</v>
      </c>
      <c r="W56" s="640" t="e">
        <f>#REF!-D56</f>
        <v>#REF!</v>
      </c>
      <c r="X56" s="652" t="s">
        <v>104</v>
      </c>
      <c r="Y56" s="656" t="s">
        <v>104</v>
      </c>
      <c r="Z56" s="653" t="s">
        <v>104</v>
      </c>
      <c r="AA56" s="656" t="s">
        <v>104</v>
      </c>
      <c r="AB56" s="654">
        <v>44291</v>
      </c>
      <c r="AC56" s="648"/>
    </row>
    <row r="57" spans="1:29" ht="50.1" customHeight="1" x14ac:dyDescent="0.25">
      <c r="A57" s="18">
        <f t="shared" si="0"/>
        <v>45</v>
      </c>
      <c r="B57" s="102">
        <f>'2DEMOGRAPHICS'!B57</f>
        <v>45</v>
      </c>
      <c r="C57" s="104" t="str">
        <f>'2DEMOGRAPHICS'!C57</f>
        <v>aaaaa11111aaaaa</v>
      </c>
      <c r="D57" s="103">
        <f>'2DEMOGRAPHICS'!D57</f>
        <v>44317</v>
      </c>
      <c r="E57" s="247" t="s">
        <v>394</v>
      </c>
      <c r="F57" s="246" t="s">
        <v>22</v>
      </c>
      <c r="G57" s="103">
        <f>'2DEMOGRAPHICS'!E57</f>
        <v>44319</v>
      </c>
      <c r="H57" s="173" t="s">
        <v>100</v>
      </c>
      <c r="I57" s="263" t="s">
        <v>22</v>
      </c>
      <c r="J57" s="246" t="s">
        <v>22</v>
      </c>
      <c r="K57" s="105" t="s">
        <v>100</v>
      </c>
      <c r="L57" s="183" t="s">
        <v>412</v>
      </c>
      <c r="M57" s="261" t="s">
        <v>22</v>
      </c>
      <c r="N57" s="181" t="s">
        <v>400</v>
      </c>
      <c r="O57" s="262" t="s">
        <v>22</v>
      </c>
      <c r="P57" s="174" t="s">
        <v>100</v>
      </c>
      <c r="Q57" s="175" t="s">
        <v>100</v>
      </c>
      <c r="R57" s="407" t="s">
        <v>100</v>
      </c>
      <c r="S57" s="401" t="s">
        <v>100</v>
      </c>
      <c r="T57" s="400" t="s">
        <v>100</v>
      </c>
      <c r="U57" s="401" t="s">
        <v>100</v>
      </c>
      <c r="V57" s="385">
        <v>44319</v>
      </c>
      <c r="W57" s="640" t="e">
        <f>#REF!-D57</f>
        <v>#REF!</v>
      </c>
      <c r="X57" s="652" t="s">
        <v>100</v>
      </c>
      <c r="Y57" s="656" t="s">
        <v>100</v>
      </c>
      <c r="Z57" s="653" t="s">
        <v>100</v>
      </c>
      <c r="AA57" s="656" t="s">
        <v>100</v>
      </c>
      <c r="AB57" s="654">
        <v>44319</v>
      </c>
      <c r="AC57" s="648"/>
    </row>
    <row r="58" spans="1:29" ht="50.1" customHeight="1" x14ac:dyDescent="0.25">
      <c r="A58" s="18">
        <f t="shared" si="0"/>
        <v>46</v>
      </c>
      <c r="B58" s="102">
        <f>'2DEMOGRAPHICS'!B58</f>
        <v>46</v>
      </c>
      <c r="C58" s="104" t="str">
        <f>'2DEMOGRAPHICS'!C58</f>
        <v>aaaaa11111aaaaa</v>
      </c>
      <c r="D58" s="103">
        <f>'2DEMOGRAPHICS'!D58</f>
        <v>44348</v>
      </c>
      <c r="E58" s="247" t="s">
        <v>398</v>
      </c>
      <c r="F58" s="246" t="s">
        <v>22</v>
      </c>
      <c r="G58" s="103">
        <f>'2DEMOGRAPHICS'!E58</f>
        <v>44351</v>
      </c>
      <c r="H58" s="173" t="s">
        <v>104</v>
      </c>
      <c r="I58" s="263" t="s">
        <v>22</v>
      </c>
      <c r="J58" s="246" t="s">
        <v>22</v>
      </c>
      <c r="K58" s="105" t="s">
        <v>104</v>
      </c>
      <c r="L58" s="183" t="s">
        <v>414</v>
      </c>
      <c r="M58" s="261" t="s">
        <v>22</v>
      </c>
      <c r="N58" s="181" t="s">
        <v>402</v>
      </c>
      <c r="O58" s="262" t="s">
        <v>22</v>
      </c>
      <c r="P58" s="174" t="s">
        <v>104</v>
      </c>
      <c r="Q58" s="175" t="s">
        <v>104</v>
      </c>
      <c r="R58" s="407" t="s">
        <v>104</v>
      </c>
      <c r="S58" s="401" t="s">
        <v>104</v>
      </c>
      <c r="T58" s="400" t="s">
        <v>104</v>
      </c>
      <c r="U58" s="401" t="s">
        <v>104</v>
      </c>
      <c r="V58" s="385">
        <v>44351</v>
      </c>
      <c r="W58" s="640" t="e">
        <f>#REF!-D58</f>
        <v>#REF!</v>
      </c>
      <c r="X58" s="652" t="s">
        <v>104</v>
      </c>
      <c r="Y58" s="656" t="s">
        <v>104</v>
      </c>
      <c r="Z58" s="653" t="s">
        <v>104</v>
      </c>
      <c r="AA58" s="656" t="s">
        <v>104</v>
      </c>
      <c r="AB58" s="654">
        <v>44351</v>
      </c>
      <c r="AC58" s="648"/>
    </row>
    <row r="59" spans="1:29" ht="50.1" customHeight="1" x14ac:dyDescent="0.25">
      <c r="A59" s="18">
        <f t="shared" si="0"/>
        <v>47</v>
      </c>
      <c r="B59" s="102">
        <f>'2DEMOGRAPHICS'!B59</f>
        <v>47</v>
      </c>
      <c r="C59" s="104" t="str">
        <f>'2DEMOGRAPHICS'!C59</f>
        <v>aaaaa11111aaaaa</v>
      </c>
      <c r="D59" s="103">
        <f>'2DEMOGRAPHICS'!D59</f>
        <v>44378</v>
      </c>
      <c r="E59" s="247" t="s">
        <v>401</v>
      </c>
      <c r="F59" s="246" t="s">
        <v>22</v>
      </c>
      <c r="G59" s="103">
        <f>'2DEMOGRAPHICS'!E59</f>
        <v>44379</v>
      </c>
      <c r="H59" s="173" t="s">
        <v>100</v>
      </c>
      <c r="I59" s="263" t="s">
        <v>22</v>
      </c>
      <c r="J59" s="246" t="s">
        <v>22</v>
      </c>
      <c r="K59" s="105" t="s">
        <v>100</v>
      </c>
      <c r="L59" s="183" t="s">
        <v>416</v>
      </c>
      <c r="M59" s="261" t="s">
        <v>22</v>
      </c>
      <c r="N59" s="181" t="s">
        <v>654</v>
      </c>
      <c r="O59" s="262" t="s">
        <v>22</v>
      </c>
      <c r="P59" s="174" t="s">
        <v>100</v>
      </c>
      <c r="Q59" s="175" t="s">
        <v>100</v>
      </c>
      <c r="R59" s="407" t="s">
        <v>100</v>
      </c>
      <c r="S59" s="401" t="s">
        <v>100</v>
      </c>
      <c r="T59" s="400" t="s">
        <v>100</v>
      </c>
      <c r="U59" s="401" t="s">
        <v>100</v>
      </c>
      <c r="V59" s="385">
        <v>44379</v>
      </c>
      <c r="W59" s="640" t="e">
        <f>#REF!-D59</f>
        <v>#REF!</v>
      </c>
      <c r="X59" s="652" t="s">
        <v>100</v>
      </c>
      <c r="Y59" s="656" t="s">
        <v>100</v>
      </c>
      <c r="Z59" s="653" t="s">
        <v>100</v>
      </c>
      <c r="AA59" s="656" t="s">
        <v>100</v>
      </c>
      <c r="AB59" s="654">
        <v>44379</v>
      </c>
      <c r="AC59" s="648"/>
    </row>
    <row r="60" spans="1:29" ht="50.1" customHeight="1" x14ac:dyDescent="0.25">
      <c r="A60" s="18">
        <f t="shared" si="0"/>
        <v>48</v>
      </c>
      <c r="B60" s="102">
        <f>'2DEMOGRAPHICS'!B60</f>
        <v>48</v>
      </c>
      <c r="C60" s="104" t="str">
        <f>'2DEMOGRAPHICS'!C60</f>
        <v>aaaaa11111aaaaa</v>
      </c>
      <c r="D60" s="103">
        <f>'2DEMOGRAPHICS'!D60</f>
        <v>44409</v>
      </c>
      <c r="E60" s="247" t="s">
        <v>192</v>
      </c>
      <c r="F60" s="246" t="s">
        <v>22</v>
      </c>
      <c r="G60" s="103">
        <f>'2DEMOGRAPHICS'!E60</f>
        <v>44412</v>
      </c>
      <c r="H60" s="173" t="s">
        <v>104</v>
      </c>
      <c r="I60" s="263" t="s">
        <v>22</v>
      </c>
      <c r="J60" s="246" t="s">
        <v>22</v>
      </c>
      <c r="K60" s="105" t="s">
        <v>104</v>
      </c>
      <c r="L60" s="183" t="s">
        <v>419</v>
      </c>
      <c r="M60" s="261" t="s">
        <v>22</v>
      </c>
      <c r="N60" s="181" t="s">
        <v>387</v>
      </c>
      <c r="O60" s="262" t="s">
        <v>22</v>
      </c>
      <c r="P60" s="174" t="s">
        <v>104</v>
      </c>
      <c r="Q60" s="175" t="s">
        <v>104</v>
      </c>
      <c r="R60" s="407" t="s">
        <v>104</v>
      </c>
      <c r="S60" s="401" t="s">
        <v>104</v>
      </c>
      <c r="T60" s="400" t="s">
        <v>104</v>
      </c>
      <c r="U60" s="401" t="s">
        <v>104</v>
      </c>
      <c r="V60" s="385">
        <v>44412</v>
      </c>
      <c r="W60" s="640" t="e">
        <f>#REF!-D60</f>
        <v>#REF!</v>
      </c>
      <c r="X60" s="652" t="s">
        <v>104</v>
      </c>
      <c r="Y60" s="656" t="s">
        <v>104</v>
      </c>
      <c r="Z60" s="653" t="s">
        <v>104</v>
      </c>
      <c r="AA60" s="656" t="s">
        <v>104</v>
      </c>
      <c r="AB60" s="654">
        <v>44412</v>
      </c>
      <c r="AC60" s="648"/>
    </row>
    <row r="61" spans="1:29" ht="50.1" customHeight="1" x14ac:dyDescent="0.25">
      <c r="A61" s="18">
        <f t="shared" si="0"/>
        <v>49</v>
      </c>
      <c r="B61" s="102">
        <f>'2DEMOGRAPHICS'!B61</f>
        <v>49</v>
      </c>
      <c r="C61" s="104" t="str">
        <f>'2DEMOGRAPHICS'!C61</f>
        <v>aaaaa11111aaaaa</v>
      </c>
      <c r="D61" s="103">
        <f>'2DEMOGRAPHICS'!D61</f>
        <v>44075</v>
      </c>
      <c r="E61" s="247" t="s">
        <v>385</v>
      </c>
      <c r="F61" s="246" t="s">
        <v>22</v>
      </c>
      <c r="G61" s="103">
        <f>'2DEMOGRAPHICS'!E61</f>
        <v>44076</v>
      </c>
      <c r="H61" s="173" t="s">
        <v>100</v>
      </c>
      <c r="I61" s="263" t="s">
        <v>22</v>
      </c>
      <c r="J61" s="246" t="s">
        <v>22</v>
      </c>
      <c r="K61" s="105" t="s">
        <v>100</v>
      </c>
      <c r="L61" s="183" t="s">
        <v>209</v>
      </c>
      <c r="M61" s="261" t="s">
        <v>22</v>
      </c>
      <c r="N61" s="181" t="s">
        <v>390</v>
      </c>
      <c r="O61" s="262" t="s">
        <v>22</v>
      </c>
      <c r="P61" s="174" t="s">
        <v>100</v>
      </c>
      <c r="Q61" s="175" t="s">
        <v>100</v>
      </c>
      <c r="R61" s="407" t="s">
        <v>100</v>
      </c>
      <c r="S61" s="401" t="s">
        <v>100</v>
      </c>
      <c r="T61" s="400" t="s">
        <v>100</v>
      </c>
      <c r="U61" s="401" t="s">
        <v>100</v>
      </c>
      <c r="V61" s="385">
        <v>44076</v>
      </c>
      <c r="W61" s="640" t="e">
        <f>#REF!-D61</f>
        <v>#REF!</v>
      </c>
      <c r="X61" s="652" t="s">
        <v>100</v>
      </c>
      <c r="Y61" s="656" t="s">
        <v>100</v>
      </c>
      <c r="Z61" s="653" t="s">
        <v>100</v>
      </c>
      <c r="AA61" s="656" t="s">
        <v>100</v>
      </c>
      <c r="AB61" s="654">
        <v>44076</v>
      </c>
      <c r="AC61" s="648"/>
    </row>
    <row r="62" spans="1:29" ht="50.1" customHeight="1" x14ac:dyDescent="0.25">
      <c r="A62" s="18">
        <f t="shared" si="0"/>
        <v>50</v>
      </c>
      <c r="B62" s="102">
        <f>'2DEMOGRAPHICS'!B62</f>
        <v>50</v>
      </c>
      <c r="C62" s="104" t="str">
        <f>'2DEMOGRAPHICS'!C62</f>
        <v>aaaaa11111aaaaa</v>
      </c>
      <c r="D62" s="103">
        <f>'2DEMOGRAPHICS'!D62</f>
        <v>44105</v>
      </c>
      <c r="E62" s="247" t="s">
        <v>388</v>
      </c>
      <c r="F62" s="246" t="s">
        <v>22</v>
      </c>
      <c r="G62" s="103">
        <f>'2DEMOGRAPHICS'!E62</f>
        <v>44139</v>
      </c>
      <c r="H62" s="173" t="s">
        <v>104</v>
      </c>
      <c r="I62" s="263" t="s">
        <v>22</v>
      </c>
      <c r="J62" s="246" t="s">
        <v>22</v>
      </c>
      <c r="K62" s="105" t="s">
        <v>104</v>
      </c>
      <c r="L62" s="183" t="s">
        <v>403</v>
      </c>
      <c r="M62" s="261" t="s">
        <v>22</v>
      </c>
      <c r="N62" s="181" t="s">
        <v>393</v>
      </c>
      <c r="O62" s="262" t="s">
        <v>22</v>
      </c>
      <c r="P62" s="174" t="s">
        <v>104</v>
      </c>
      <c r="Q62" s="175" t="s">
        <v>104</v>
      </c>
      <c r="R62" s="407" t="s">
        <v>104</v>
      </c>
      <c r="S62" s="401" t="s">
        <v>104</v>
      </c>
      <c r="T62" s="400" t="s">
        <v>104</v>
      </c>
      <c r="U62" s="401" t="s">
        <v>104</v>
      </c>
      <c r="V62" s="385">
        <v>44139</v>
      </c>
      <c r="W62" s="640" t="e">
        <f>#REF!-D62</f>
        <v>#REF!</v>
      </c>
      <c r="X62" s="652" t="s">
        <v>104</v>
      </c>
      <c r="Y62" s="656" t="s">
        <v>104</v>
      </c>
      <c r="Z62" s="653" t="s">
        <v>104</v>
      </c>
      <c r="AA62" s="656" t="s">
        <v>104</v>
      </c>
      <c r="AB62" s="654">
        <v>44139</v>
      </c>
      <c r="AC62" s="648"/>
    </row>
    <row r="63" spans="1:29" x14ac:dyDescent="0.25">
      <c r="A63" s="10"/>
    </row>
    <row r="64" spans="1:29" x14ac:dyDescent="0.25">
      <c r="A64" s="10"/>
    </row>
    <row r="65" spans="1:1" x14ac:dyDescent="0.25">
      <c r="A65" s="10"/>
    </row>
    <row r="66" spans="1:1" x14ac:dyDescent="0.25">
      <c r="A66" s="10"/>
    </row>
    <row r="67" spans="1:1" x14ac:dyDescent="0.25">
      <c r="A67" s="10"/>
    </row>
    <row r="68" spans="1:1" x14ac:dyDescent="0.25">
      <c r="A68" s="10"/>
    </row>
    <row r="69" spans="1:1" x14ac:dyDescent="0.25">
      <c r="A69" s="10"/>
    </row>
  </sheetData>
  <mergeCells count="25">
    <mergeCell ref="A2:L2"/>
    <mergeCell ref="A3:L3"/>
    <mergeCell ref="A4:L4"/>
    <mergeCell ref="A5:L5"/>
    <mergeCell ref="R11:W11"/>
    <mergeCell ref="A10:D10"/>
    <mergeCell ref="E10:F10"/>
    <mergeCell ref="A8:D9"/>
    <mergeCell ref="J8:L8"/>
    <mergeCell ref="J9:L9"/>
    <mergeCell ref="X11:AC11"/>
    <mergeCell ref="A11:L11"/>
    <mergeCell ref="E6:G6"/>
    <mergeCell ref="E7:G7"/>
    <mergeCell ref="A6:D6"/>
    <mergeCell ref="A7:D7"/>
    <mergeCell ref="J10:L10"/>
    <mergeCell ref="E8:G9"/>
    <mergeCell ref="H6:I6"/>
    <mergeCell ref="H7:I7"/>
    <mergeCell ref="H8:I8"/>
    <mergeCell ref="H9:I9"/>
    <mergeCell ref="H10:I10"/>
    <mergeCell ref="J6:L6"/>
    <mergeCell ref="J7:L7"/>
  </mergeCells>
  <dataValidations count="4">
    <dataValidation allowBlank="1" showInputMessage="1" showErrorMessage="1" prompt="Use MM/DD/YYYY format (00/00/0000). Leave blank until the date is needed. " sqref="V13:V62 AB13:AB62" xr:uid="{A7172512-1C4C-47EB-9FE1-B780A5948F8A}"/>
    <dataValidation allowBlank="1" showInputMessage="1" showErrorMessage="1" prompt="Date will auto populate" sqref="D13:D62 G13:G62" xr:uid="{2664D18D-3E53-464F-B9BC-4B85A865BF60}"/>
    <dataValidation allowBlank="1" showInputMessage="1" showErrorMessage="1" prompt="Data will auto populate" sqref="B13:C62" xr:uid="{106805D0-559B-490B-B45D-E6EA2B34913A}"/>
    <dataValidation allowBlank="1" showInputMessage="1" showErrorMessage="1" prompt="Will auto populate" sqref="W13:W62" xr:uid="{B45C64B6-532D-41DE-9BCE-E8E55FCE6953}"/>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6C8AA22B-63B3-40AE-9AD6-B3810A8A52B0}">
          <x14:formula1>
            <xm:f>'Pick List '!$G$15:$G$16</xm:f>
          </x14:formula1>
          <xm:sqref>K13:K62 P13:U62 H13:H62 X13:AA62</xm:sqref>
        </x14:dataValidation>
        <x14:dataValidation type="list" allowBlank="1" showInputMessage="1" showErrorMessage="1" xr:uid="{E98C4760-58CF-4005-AEC6-19C093CAE836}">
          <x14:formula1>
            <xm:f>'Pick List '!$K$124:$K$130</xm:f>
          </x14:formula1>
          <xm:sqref>N13:N62</xm:sqref>
        </x14:dataValidation>
        <x14:dataValidation type="list" allowBlank="1" showInputMessage="1" showErrorMessage="1" xr:uid="{84596357-3634-477B-9410-A0DCB8C1231A}">
          <x14:formula1>
            <xm:f>'Pick List '!$K$106:$K$114</xm:f>
          </x14:formula1>
          <xm:sqref>L13:L62</xm:sqref>
        </x14:dataValidation>
        <x14:dataValidation type="list" allowBlank="1" showInputMessage="1" showErrorMessage="1" xr:uid="{A3940AE6-581A-4A25-BCF7-F45CFEF18051}">
          <x14:formula1>
            <xm:f>'Pick List '!$A$98:$A$104</xm:f>
          </x14:formula1>
          <xm:sqref>E13:E62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3A46C-BAF4-4719-882F-9F4E145BDEC4}">
  <sheetPr>
    <tabColor theme="5" tint="-0.499984740745262"/>
  </sheetPr>
  <dimension ref="A1:U63"/>
  <sheetViews>
    <sheetView topLeftCell="C10" workbookViewId="0">
      <selection activeCell="A5" sqref="A5:Q5"/>
    </sheetView>
  </sheetViews>
  <sheetFormatPr defaultRowHeight="15" x14ac:dyDescent="0.25"/>
  <cols>
    <col min="2" max="20" width="10.7109375" customWidth="1"/>
    <col min="21" max="21" width="40.42578125" customWidth="1"/>
  </cols>
  <sheetData>
    <row r="1" spans="1:21" ht="60" x14ac:dyDescent="0.25">
      <c r="A1" s="11" t="s">
        <v>245</v>
      </c>
      <c r="B1" s="50" t="s">
        <v>334</v>
      </c>
      <c r="C1" s="51" t="s">
        <v>335</v>
      </c>
      <c r="D1" s="51" t="s">
        <v>543</v>
      </c>
      <c r="E1" s="434" t="s">
        <v>546</v>
      </c>
      <c r="F1" s="435" t="s">
        <v>547</v>
      </c>
      <c r="G1" s="437" t="s">
        <v>548</v>
      </c>
      <c r="H1" s="436" t="s">
        <v>549</v>
      </c>
      <c r="I1" s="438" t="s">
        <v>550</v>
      </c>
      <c r="J1" s="436" t="s">
        <v>551</v>
      </c>
      <c r="K1" s="438" t="s">
        <v>552</v>
      </c>
      <c r="L1" s="436" t="s">
        <v>553</v>
      </c>
      <c r="M1" s="439" t="s">
        <v>546</v>
      </c>
      <c r="N1" s="440" t="s">
        <v>547</v>
      </c>
      <c r="O1" s="442" t="s">
        <v>548</v>
      </c>
      <c r="P1" s="441" t="s">
        <v>549</v>
      </c>
      <c r="Q1" s="443" t="s">
        <v>550</v>
      </c>
      <c r="R1" s="441" t="s">
        <v>551</v>
      </c>
      <c r="S1" s="443" t="s">
        <v>552</v>
      </c>
      <c r="T1" s="441" t="s">
        <v>553</v>
      </c>
      <c r="U1" s="444" t="s">
        <v>262</v>
      </c>
    </row>
    <row r="2" spans="1:21"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3"/>
      <c r="M2" s="1103"/>
      <c r="N2" s="1103"/>
      <c r="O2" s="1103"/>
      <c r="P2" s="1103"/>
      <c r="Q2" s="1103"/>
      <c r="R2" s="82"/>
      <c r="S2" s="82"/>
      <c r="T2" s="82"/>
      <c r="U2" s="82"/>
    </row>
    <row r="3" spans="1:21" ht="15.75" x14ac:dyDescent="0.25">
      <c r="A3" s="1105" t="str">
        <f>'BASE GRANTEE INFO &amp; UPDATES'!A2</f>
        <v>FISCAL YEAR: 2025 (09/30/2024 - 09/29/2025)</v>
      </c>
      <c r="B3" s="1106"/>
      <c r="C3" s="1106"/>
      <c r="D3" s="1106"/>
      <c r="E3" s="1106"/>
      <c r="F3" s="1106"/>
      <c r="G3" s="1106"/>
      <c r="H3" s="1106"/>
      <c r="I3" s="1106"/>
      <c r="J3" s="1106"/>
      <c r="K3" s="1106"/>
      <c r="L3" s="1106"/>
      <c r="M3" s="1106"/>
      <c r="N3" s="1106"/>
      <c r="O3" s="1106"/>
      <c r="P3" s="1106"/>
      <c r="Q3" s="1106"/>
      <c r="R3" s="82"/>
      <c r="S3" s="82"/>
      <c r="T3" s="82"/>
      <c r="U3" s="82"/>
    </row>
    <row r="4" spans="1:21" ht="15.75" x14ac:dyDescent="0.25">
      <c r="A4" s="1166" t="str">
        <f>'BASE GRANTEE INFO &amp; UPDATES'!A3</f>
        <v xml:space="preserve">Program reports need to be submitted electronically, via e-mail to BBHReporting@wv.gov  within 25 calendar days of the end of each month </v>
      </c>
      <c r="B4" s="1167"/>
      <c r="C4" s="1167"/>
      <c r="D4" s="1167"/>
      <c r="E4" s="1167"/>
      <c r="F4" s="1167"/>
      <c r="G4" s="1167"/>
      <c r="H4" s="1167"/>
      <c r="I4" s="1167"/>
      <c r="J4" s="1167"/>
      <c r="K4" s="1167"/>
      <c r="L4" s="1167"/>
      <c r="M4" s="1167"/>
      <c r="N4" s="1167"/>
      <c r="O4" s="1167"/>
      <c r="P4" s="1167"/>
      <c r="Q4" s="1167"/>
      <c r="R4" s="82"/>
      <c r="S4" s="82"/>
      <c r="T4" s="82"/>
      <c r="U4" s="82"/>
    </row>
    <row r="5" spans="1:21" ht="18.75" x14ac:dyDescent="0.25">
      <c r="A5" s="1168" t="s">
        <v>436</v>
      </c>
      <c r="B5" s="1168"/>
      <c r="C5" s="1168"/>
      <c r="D5" s="1168"/>
      <c r="E5" s="1168"/>
      <c r="F5" s="1168"/>
      <c r="G5" s="1168"/>
      <c r="H5" s="1168"/>
      <c r="I5" s="1168"/>
      <c r="J5" s="1168"/>
      <c r="K5" s="1168"/>
      <c r="L5" s="1168"/>
      <c r="M5" s="1168"/>
      <c r="N5" s="1168"/>
      <c r="O5" s="1168"/>
      <c r="P5" s="1168"/>
      <c r="Q5" s="1168"/>
      <c r="R5" s="82"/>
      <c r="S5" s="82"/>
      <c r="T5" s="82"/>
      <c r="U5" s="82"/>
    </row>
    <row r="6" spans="1:21" x14ac:dyDescent="0.25">
      <c r="A6" s="1142" t="s">
        <v>0</v>
      </c>
      <c r="B6" s="1142"/>
      <c r="C6" s="1142"/>
      <c r="D6" s="1142"/>
      <c r="E6" s="1152" t="str">
        <f>'BASE GRANTEE INFO &amp; UPDATES'!E5</f>
        <v xml:space="preserve">Community Anti-Drug Coalitions of America (CADCA) and Teen Court </v>
      </c>
      <c r="F6" s="1153"/>
      <c r="G6" s="1153"/>
      <c r="H6" s="1154"/>
      <c r="I6" s="1116" t="s">
        <v>1</v>
      </c>
      <c r="J6" s="1116"/>
      <c r="K6" s="1116"/>
      <c r="L6" s="1116"/>
      <c r="M6" s="1239">
        <f>'BASE GRANTEE INFO &amp; UPDATES'!M5</f>
        <v>0</v>
      </c>
      <c r="N6" s="1239"/>
      <c r="O6" s="1239"/>
      <c r="P6" s="1239"/>
      <c r="Q6" s="1239"/>
      <c r="R6" s="82"/>
      <c r="S6" s="82"/>
      <c r="T6" s="82"/>
      <c r="U6" s="82"/>
    </row>
    <row r="7" spans="1:21" x14ac:dyDescent="0.25">
      <c r="A7" s="1142" t="s">
        <v>2</v>
      </c>
      <c r="B7" s="1142"/>
      <c r="C7" s="1142"/>
      <c r="D7" s="1142"/>
      <c r="E7" s="1143" t="str">
        <f>'BASE GRANTEE INFO &amp; UPDATES'!E6</f>
        <v>CADCA In Action and Teen Court</v>
      </c>
      <c r="F7" s="1144"/>
      <c r="G7" s="1144"/>
      <c r="H7" s="1145"/>
      <c r="I7" s="1116" t="s">
        <v>3</v>
      </c>
      <c r="J7" s="1116"/>
      <c r="K7" s="1116"/>
      <c r="L7" s="1116"/>
      <c r="M7" s="1239">
        <f>'BASE GRANTEE INFO &amp; UPDATES'!M6</f>
        <v>0</v>
      </c>
      <c r="N7" s="1239"/>
      <c r="O7" s="1239"/>
      <c r="P7" s="1239"/>
      <c r="Q7" s="1239"/>
      <c r="R7" s="82"/>
      <c r="S7" s="82"/>
      <c r="T7" s="82"/>
      <c r="U7" s="82"/>
    </row>
    <row r="8" spans="1:21" x14ac:dyDescent="0.25">
      <c r="A8" s="1149" t="s">
        <v>4</v>
      </c>
      <c r="B8" s="1149"/>
      <c r="C8" s="1149"/>
      <c r="D8" s="1149"/>
      <c r="E8" s="1132">
        <f>'BASE GRANTEE INFO &amp; UPDATES'!E7</f>
        <v>0</v>
      </c>
      <c r="F8" s="1133"/>
      <c r="G8" s="1133"/>
      <c r="H8" s="1134"/>
      <c r="I8" s="1116" t="s">
        <v>374</v>
      </c>
      <c r="J8" s="1116"/>
      <c r="K8" s="1116"/>
      <c r="L8" s="1116"/>
      <c r="M8" s="1239">
        <f>'BASE GRANTEE INFO &amp; UPDATES'!M7</f>
        <v>0</v>
      </c>
      <c r="N8" s="1239"/>
      <c r="O8" s="1239"/>
      <c r="P8" s="1239"/>
      <c r="Q8" s="1239"/>
      <c r="R8" s="82"/>
      <c r="S8" s="82"/>
      <c r="T8" s="82"/>
      <c r="U8" s="82"/>
    </row>
    <row r="9" spans="1:21" x14ac:dyDescent="0.25">
      <c r="A9" s="1149"/>
      <c r="B9" s="1149"/>
      <c r="C9" s="1149"/>
      <c r="D9" s="1149"/>
      <c r="E9" s="1135"/>
      <c r="F9" s="1136"/>
      <c r="G9" s="1136"/>
      <c r="H9" s="1137"/>
      <c r="I9" s="1138" t="s">
        <v>6</v>
      </c>
      <c r="J9" s="1138"/>
      <c r="K9" s="1138"/>
      <c r="L9" s="1138"/>
      <c r="M9" s="1239">
        <f>'BASE GRANTEE INFO &amp; UPDATES'!M8</f>
        <v>0</v>
      </c>
      <c r="N9" s="1239"/>
      <c r="O9" s="1239"/>
      <c r="P9" s="1239"/>
      <c r="Q9" s="1239"/>
      <c r="R9" s="82"/>
      <c r="S9" s="82"/>
      <c r="T9" s="82"/>
      <c r="U9" s="82"/>
    </row>
    <row r="10" spans="1:21" x14ac:dyDescent="0.25">
      <c r="A10" s="1142" t="s">
        <v>7</v>
      </c>
      <c r="B10" s="1142"/>
      <c r="C10" s="1142"/>
      <c r="D10" s="1142"/>
      <c r="E10" s="879">
        <f>'BASE GRANTEE INFO &amp; UPDATES'!G9</f>
        <v>2024</v>
      </c>
      <c r="F10" s="879"/>
      <c r="G10" s="1001">
        <f>'BASE GRANTEE INFO &amp; UPDATES'!G9</f>
        <v>2024</v>
      </c>
      <c r="H10" s="1002"/>
      <c r="I10" s="1138" t="s">
        <v>8</v>
      </c>
      <c r="J10" s="1138"/>
      <c r="K10" s="1138"/>
      <c r="L10" s="1138"/>
      <c r="M10" s="1239">
        <f>'BASE GRANTEE INFO &amp; UPDATES'!M9</f>
        <v>0</v>
      </c>
      <c r="N10" s="1239"/>
      <c r="O10" s="1239"/>
      <c r="P10" s="1239"/>
      <c r="Q10" s="1239"/>
      <c r="R10" s="82"/>
      <c r="S10" s="82"/>
      <c r="T10" s="82"/>
      <c r="U10" s="82"/>
    </row>
    <row r="11" spans="1:21" ht="18.75" x14ac:dyDescent="0.25">
      <c r="A11" s="1168" t="s">
        <v>591</v>
      </c>
      <c r="B11" s="1168"/>
      <c r="C11" s="1168"/>
      <c r="D11" s="1168"/>
      <c r="E11" s="1168"/>
      <c r="F11" s="1168"/>
      <c r="G11" s="1168"/>
      <c r="H11" s="1168"/>
      <c r="I11" s="1168"/>
      <c r="J11" s="1168"/>
      <c r="K11" s="1168"/>
      <c r="L11" s="1168"/>
      <c r="M11" s="1168"/>
      <c r="N11" s="1168"/>
      <c r="O11" s="1168"/>
      <c r="P11" s="1168"/>
      <c r="Q11" s="1168"/>
      <c r="R11" s="82"/>
      <c r="S11" s="82"/>
      <c r="T11" s="82"/>
      <c r="U11" s="82"/>
    </row>
    <row r="12" spans="1:21" ht="18.75" customHeight="1" x14ac:dyDescent="0.25">
      <c r="A12" s="570" t="s">
        <v>245</v>
      </c>
      <c r="B12" s="1238" t="s">
        <v>592</v>
      </c>
      <c r="C12" s="1238"/>
      <c r="D12" s="1238"/>
      <c r="E12" s="1240" t="s">
        <v>544</v>
      </c>
      <c r="F12" s="1240"/>
      <c r="G12" s="1240"/>
      <c r="H12" s="1240"/>
      <c r="I12" s="1240"/>
      <c r="J12" s="1240"/>
      <c r="K12" s="1240"/>
      <c r="L12" s="1240"/>
      <c r="M12" s="1241" t="s">
        <v>545</v>
      </c>
      <c r="N12" s="1241"/>
      <c r="O12" s="1241"/>
      <c r="P12" s="1241"/>
      <c r="Q12" s="1241"/>
      <c r="R12" s="1241"/>
      <c r="S12" s="1241"/>
      <c r="T12" s="1241"/>
      <c r="U12" s="457" t="s">
        <v>262</v>
      </c>
    </row>
    <row r="13" spans="1:21" ht="45" customHeight="1" x14ac:dyDescent="0.25">
      <c r="A13" s="11" t="s">
        <v>245</v>
      </c>
      <c r="B13" s="50" t="s">
        <v>334</v>
      </c>
      <c r="C13" s="51" t="s">
        <v>335</v>
      </c>
      <c r="D13" s="51" t="s">
        <v>543</v>
      </c>
      <c r="E13" s="434" t="s">
        <v>546</v>
      </c>
      <c r="F13" s="435" t="s">
        <v>547</v>
      </c>
      <c r="G13" s="437" t="s">
        <v>548</v>
      </c>
      <c r="H13" s="436" t="s">
        <v>549</v>
      </c>
      <c r="I13" s="438" t="s">
        <v>550</v>
      </c>
      <c r="J13" s="436" t="s">
        <v>551</v>
      </c>
      <c r="K13" s="438" t="s">
        <v>552</v>
      </c>
      <c r="L13" s="436" t="s">
        <v>553</v>
      </c>
      <c r="M13" s="439" t="s">
        <v>546</v>
      </c>
      <c r="N13" s="440" t="s">
        <v>547</v>
      </c>
      <c r="O13" s="442" t="s">
        <v>548</v>
      </c>
      <c r="P13" s="441" t="s">
        <v>549</v>
      </c>
      <c r="Q13" s="443" t="s">
        <v>550</v>
      </c>
      <c r="R13" s="441" t="s">
        <v>551</v>
      </c>
      <c r="S13" s="443" t="s">
        <v>552</v>
      </c>
      <c r="T13" s="441" t="s">
        <v>553</v>
      </c>
      <c r="U13" s="444" t="s">
        <v>262</v>
      </c>
    </row>
    <row r="14" spans="1:21" ht="39.950000000000003" customHeight="1" x14ac:dyDescent="0.25">
      <c r="A14" s="571">
        <f>ROW(A1)</f>
        <v>1</v>
      </c>
      <c r="B14" s="92">
        <v>1</v>
      </c>
      <c r="C14" s="53" t="s">
        <v>333</v>
      </c>
      <c r="D14" s="391">
        <v>44077</v>
      </c>
      <c r="E14" s="445" t="s">
        <v>554</v>
      </c>
      <c r="F14" s="436"/>
      <c r="G14" s="446"/>
      <c r="H14" s="436"/>
      <c r="I14" s="447"/>
      <c r="J14" s="436"/>
      <c r="K14" s="447"/>
      <c r="L14" s="436"/>
      <c r="M14" s="448" t="s">
        <v>554</v>
      </c>
      <c r="N14" s="449"/>
      <c r="O14" s="450"/>
      <c r="P14" s="449"/>
      <c r="Q14" s="441"/>
      <c r="R14" s="449"/>
      <c r="S14" s="441"/>
      <c r="T14" s="449"/>
      <c r="U14" s="451"/>
    </row>
    <row r="15" spans="1:21" ht="39.950000000000003" customHeight="1" x14ac:dyDescent="0.25">
      <c r="A15" s="571">
        <f t="shared" ref="A15:A63" si="0">ROW(A2)</f>
        <v>2</v>
      </c>
      <c r="B15" s="92">
        <v>2</v>
      </c>
      <c r="C15" s="49" t="s">
        <v>333</v>
      </c>
      <c r="D15" s="391">
        <v>44107</v>
      </c>
      <c r="E15" s="445" t="s">
        <v>554</v>
      </c>
      <c r="F15" s="447"/>
      <c r="G15" s="452"/>
      <c r="H15" s="447"/>
      <c r="I15" s="438"/>
      <c r="J15" s="447"/>
      <c r="K15" s="438"/>
      <c r="L15" s="447"/>
      <c r="M15" s="453" t="s">
        <v>554</v>
      </c>
      <c r="N15" s="441"/>
      <c r="O15" s="454"/>
      <c r="P15" s="441"/>
      <c r="Q15" s="443"/>
      <c r="R15" s="441"/>
      <c r="S15" s="443"/>
      <c r="T15" s="441"/>
      <c r="U15" s="455"/>
    </row>
    <row r="16" spans="1:21" ht="39.950000000000003" customHeight="1" x14ac:dyDescent="0.25">
      <c r="A16" s="571">
        <f t="shared" si="0"/>
        <v>3</v>
      </c>
      <c r="B16" s="92">
        <v>3</v>
      </c>
      <c r="C16" s="49" t="s">
        <v>333</v>
      </c>
      <c r="D16" s="391">
        <v>44137</v>
      </c>
      <c r="E16" s="445" t="s">
        <v>554</v>
      </c>
      <c r="F16" s="436"/>
      <c r="G16" s="446"/>
      <c r="H16" s="436"/>
      <c r="I16" s="447"/>
      <c r="J16" s="436"/>
      <c r="K16" s="447"/>
      <c r="L16" s="436"/>
      <c r="M16" s="448" t="s">
        <v>554</v>
      </c>
      <c r="N16" s="449"/>
      <c r="O16" s="450"/>
      <c r="P16" s="449"/>
      <c r="Q16" s="441"/>
      <c r="R16" s="449"/>
      <c r="S16" s="441"/>
      <c r="T16" s="449"/>
      <c r="U16" s="451"/>
    </row>
    <row r="17" spans="1:21" ht="39.950000000000003" customHeight="1" x14ac:dyDescent="0.25">
      <c r="A17" s="571">
        <f t="shared" si="0"/>
        <v>4</v>
      </c>
      <c r="B17" s="92">
        <v>4</v>
      </c>
      <c r="C17" s="49" t="s">
        <v>333</v>
      </c>
      <c r="D17" s="391">
        <v>44170</v>
      </c>
      <c r="E17" s="456" t="s">
        <v>554</v>
      </c>
      <c r="F17" s="447"/>
      <c r="G17" s="452"/>
      <c r="H17" s="447"/>
      <c r="I17" s="438"/>
      <c r="J17" s="447"/>
      <c r="K17" s="438"/>
      <c r="L17" s="447"/>
      <c r="M17" s="453" t="s">
        <v>554</v>
      </c>
      <c r="N17" s="441"/>
      <c r="O17" s="454"/>
      <c r="P17" s="441"/>
      <c r="Q17" s="443"/>
      <c r="R17" s="441"/>
      <c r="S17" s="443"/>
      <c r="T17" s="441"/>
      <c r="U17" s="455"/>
    </row>
    <row r="18" spans="1:21" ht="39.950000000000003" customHeight="1" x14ac:dyDescent="0.25">
      <c r="A18" s="571">
        <f t="shared" si="0"/>
        <v>5</v>
      </c>
      <c r="B18" s="92">
        <v>5</v>
      </c>
      <c r="C18" s="49" t="s">
        <v>333</v>
      </c>
      <c r="D18" s="391">
        <v>44201</v>
      </c>
      <c r="E18" s="445" t="s">
        <v>554</v>
      </c>
      <c r="F18" s="436"/>
      <c r="G18" s="446"/>
      <c r="H18" s="436"/>
      <c r="I18" s="447"/>
      <c r="J18" s="436"/>
      <c r="K18" s="447"/>
      <c r="L18" s="436"/>
      <c r="M18" s="448" t="s">
        <v>554</v>
      </c>
      <c r="N18" s="449"/>
      <c r="O18" s="450"/>
      <c r="P18" s="449"/>
      <c r="Q18" s="441"/>
      <c r="R18" s="449"/>
      <c r="S18" s="441"/>
      <c r="T18" s="449"/>
      <c r="U18" s="451"/>
    </row>
    <row r="19" spans="1:21" ht="39.950000000000003" customHeight="1" x14ac:dyDescent="0.25">
      <c r="A19" s="571">
        <f t="shared" si="0"/>
        <v>6</v>
      </c>
      <c r="B19" s="92">
        <v>6</v>
      </c>
      <c r="C19" s="49" t="s">
        <v>333</v>
      </c>
      <c r="D19" s="391">
        <v>44230</v>
      </c>
      <c r="E19" s="456" t="s">
        <v>554</v>
      </c>
      <c r="F19" s="447"/>
      <c r="G19" s="452"/>
      <c r="H19" s="447"/>
      <c r="I19" s="438"/>
      <c r="J19" s="447"/>
      <c r="K19" s="438"/>
      <c r="L19" s="447"/>
      <c r="M19" s="453" t="s">
        <v>554</v>
      </c>
      <c r="N19" s="441"/>
      <c r="O19" s="454"/>
      <c r="P19" s="441"/>
      <c r="Q19" s="443"/>
      <c r="R19" s="441"/>
      <c r="S19" s="443"/>
      <c r="T19" s="441"/>
      <c r="U19" s="455"/>
    </row>
    <row r="20" spans="1:21" ht="39.950000000000003" customHeight="1" x14ac:dyDescent="0.25">
      <c r="A20" s="571">
        <f t="shared" si="0"/>
        <v>7</v>
      </c>
      <c r="B20" s="92">
        <v>7</v>
      </c>
      <c r="C20" s="49" t="s">
        <v>333</v>
      </c>
      <c r="D20" s="391">
        <v>44259</v>
      </c>
      <c r="E20" s="445" t="s">
        <v>554</v>
      </c>
      <c r="F20" s="436"/>
      <c r="G20" s="446"/>
      <c r="H20" s="436"/>
      <c r="I20" s="447"/>
      <c r="J20" s="436"/>
      <c r="K20" s="447"/>
      <c r="L20" s="436"/>
      <c r="M20" s="448" t="s">
        <v>554</v>
      </c>
      <c r="N20" s="449"/>
      <c r="O20" s="450"/>
      <c r="P20" s="449"/>
      <c r="Q20" s="441"/>
      <c r="R20" s="449"/>
      <c r="S20" s="441"/>
      <c r="T20" s="449"/>
      <c r="U20" s="451"/>
    </row>
    <row r="21" spans="1:21" ht="39.950000000000003" customHeight="1" x14ac:dyDescent="0.25">
      <c r="A21" s="571">
        <f t="shared" si="0"/>
        <v>8</v>
      </c>
      <c r="B21" s="92">
        <v>8</v>
      </c>
      <c r="C21" s="49" t="s">
        <v>333</v>
      </c>
      <c r="D21" s="391">
        <v>44291</v>
      </c>
      <c r="E21" s="456" t="s">
        <v>554</v>
      </c>
      <c r="F21" s="447"/>
      <c r="G21" s="452"/>
      <c r="H21" s="447"/>
      <c r="I21" s="438"/>
      <c r="J21" s="447"/>
      <c r="K21" s="438"/>
      <c r="L21" s="447"/>
      <c r="M21" s="453" t="s">
        <v>554</v>
      </c>
      <c r="N21" s="441"/>
      <c r="O21" s="454"/>
      <c r="P21" s="441"/>
      <c r="Q21" s="443"/>
      <c r="R21" s="441"/>
      <c r="S21" s="443"/>
      <c r="T21" s="441"/>
      <c r="U21" s="455"/>
    </row>
    <row r="22" spans="1:21" ht="39.950000000000003" customHeight="1" x14ac:dyDescent="0.25">
      <c r="A22" s="571">
        <f t="shared" si="0"/>
        <v>9</v>
      </c>
      <c r="B22" s="92">
        <v>9</v>
      </c>
      <c r="C22" s="49" t="s">
        <v>333</v>
      </c>
      <c r="D22" s="391">
        <v>44319</v>
      </c>
      <c r="E22" s="445" t="s">
        <v>554</v>
      </c>
      <c r="F22" s="436"/>
      <c r="G22" s="446"/>
      <c r="H22" s="436"/>
      <c r="I22" s="447"/>
      <c r="J22" s="436"/>
      <c r="K22" s="447"/>
      <c r="L22" s="436"/>
      <c r="M22" s="448" t="s">
        <v>554</v>
      </c>
      <c r="N22" s="449"/>
      <c r="O22" s="450"/>
      <c r="P22" s="449"/>
      <c r="Q22" s="441"/>
      <c r="R22" s="449"/>
      <c r="S22" s="441"/>
      <c r="T22" s="449"/>
      <c r="U22" s="451"/>
    </row>
    <row r="23" spans="1:21" ht="39.950000000000003" customHeight="1" x14ac:dyDescent="0.25">
      <c r="A23" s="571">
        <f t="shared" si="0"/>
        <v>10</v>
      </c>
      <c r="B23" s="92">
        <v>10</v>
      </c>
      <c r="C23" s="49" t="s">
        <v>333</v>
      </c>
      <c r="D23" s="391">
        <v>44351</v>
      </c>
      <c r="E23" s="456" t="s">
        <v>554</v>
      </c>
      <c r="F23" s="447"/>
      <c r="G23" s="452"/>
      <c r="H23" s="447"/>
      <c r="I23" s="438"/>
      <c r="J23" s="447"/>
      <c r="K23" s="438"/>
      <c r="L23" s="447"/>
      <c r="M23" s="453" t="s">
        <v>554</v>
      </c>
      <c r="N23" s="441"/>
      <c r="O23" s="454"/>
      <c r="P23" s="441"/>
      <c r="Q23" s="443"/>
      <c r="R23" s="441"/>
      <c r="S23" s="443"/>
      <c r="T23" s="441"/>
      <c r="U23" s="455"/>
    </row>
    <row r="24" spans="1:21" ht="39.950000000000003" customHeight="1" x14ac:dyDescent="0.25">
      <c r="A24" s="571">
        <f t="shared" si="0"/>
        <v>11</v>
      </c>
      <c r="B24" s="92">
        <v>11</v>
      </c>
      <c r="C24" s="53" t="s">
        <v>333</v>
      </c>
      <c r="D24" s="391">
        <v>44379</v>
      </c>
      <c r="E24" s="445" t="s">
        <v>554</v>
      </c>
      <c r="F24" s="436"/>
      <c r="G24" s="446"/>
      <c r="H24" s="436"/>
      <c r="I24" s="447"/>
      <c r="J24" s="436"/>
      <c r="K24" s="447"/>
      <c r="L24" s="436"/>
      <c r="M24" s="448" t="s">
        <v>554</v>
      </c>
      <c r="N24" s="449"/>
      <c r="O24" s="450"/>
      <c r="P24" s="449"/>
      <c r="Q24" s="441"/>
      <c r="R24" s="449"/>
      <c r="S24" s="441"/>
      <c r="T24" s="449"/>
      <c r="U24" s="451"/>
    </row>
    <row r="25" spans="1:21" ht="39.950000000000003" customHeight="1" x14ac:dyDescent="0.25">
      <c r="A25" s="571">
        <f t="shared" si="0"/>
        <v>12</v>
      </c>
      <c r="B25" s="92">
        <v>12</v>
      </c>
      <c r="C25" s="49" t="s">
        <v>333</v>
      </c>
      <c r="D25" s="391">
        <v>44412</v>
      </c>
      <c r="E25" s="456" t="s">
        <v>554</v>
      </c>
      <c r="F25" s="447"/>
      <c r="G25" s="452"/>
      <c r="H25" s="447"/>
      <c r="I25" s="438"/>
      <c r="J25" s="447"/>
      <c r="K25" s="438"/>
      <c r="L25" s="447"/>
      <c r="M25" s="453" t="s">
        <v>554</v>
      </c>
      <c r="N25" s="441"/>
      <c r="O25" s="454"/>
      <c r="P25" s="441"/>
      <c r="Q25" s="443"/>
      <c r="R25" s="441"/>
      <c r="S25" s="443"/>
      <c r="T25" s="441"/>
      <c r="U25" s="455"/>
    </row>
    <row r="26" spans="1:21" ht="39.950000000000003" customHeight="1" x14ac:dyDescent="0.25">
      <c r="A26" s="571">
        <f t="shared" si="0"/>
        <v>13</v>
      </c>
      <c r="B26" s="92">
        <v>13</v>
      </c>
      <c r="C26" s="49" t="s">
        <v>333</v>
      </c>
      <c r="D26" s="391">
        <v>44077</v>
      </c>
      <c r="E26" s="445" t="s">
        <v>554</v>
      </c>
      <c r="F26" s="436"/>
      <c r="G26" s="446"/>
      <c r="H26" s="436"/>
      <c r="I26" s="447"/>
      <c r="J26" s="436"/>
      <c r="K26" s="447"/>
      <c r="L26" s="436"/>
      <c r="M26" s="448" t="s">
        <v>554</v>
      </c>
      <c r="N26" s="449"/>
      <c r="O26" s="450"/>
      <c r="P26" s="449"/>
      <c r="Q26" s="441"/>
      <c r="R26" s="449"/>
      <c r="S26" s="441"/>
      <c r="T26" s="449"/>
      <c r="U26" s="451"/>
    </row>
    <row r="27" spans="1:21" ht="39.950000000000003" customHeight="1" x14ac:dyDescent="0.25">
      <c r="A27" s="571">
        <f t="shared" si="0"/>
        <v>14</v>
      </c>
      <c r="B27" s="92">
        <v>14</v>
      </c>
      <c r="C27" s="49" t="s">
        <v>333</v>
      </c>
      <c r="D27" s="391">
        <v>44077</v>
      </c>
      <c r="E27" s="456" t="s">
        <v>554</v>
      </c>
      <c r="F27" s="447"/>
      <c r="G27" s="452"/>
      <c r="H27" s="447"/>
      <c r="I27" s="438"/>
      <c r="J27" s="447"/>
      <c r="K27" s="438"/>
      <c r="L27" s="447"/>
      <c r="M27" s="453" t="s">
        <v>554</v>
      </c>
      <c r="N27" s="441"/>
      <c r="O27" s="454"/>
      <c r="P27" s="441"/>
      <c r="Q27" s="443"/>
      <c r="R27" s="441"/>
      <c r="S27" s="443"/>
      <c r="T27" s="441"/>
      <c r="U27" s="455"/>
    </row>
    <row r="28" spans="1:21" ht="39.950000000000003" customHeight="1" x14ac:dyDescent="0.25">
      <c r="A28" s="571">
        <f t="shared" si="0"/>
        <v>15</v>
      </c>
      <c r="B28" s="92">
        <v>15</v>
      </c>
      <c r="C28" s="49" t="s">
        <v>333</v>
      </c>
      <c r="D28" s="391">
        <v>44137</v>
      </c>
      <c r="E28" s="445" t="s">
        <v>554</v>
      </c>
      <c r="F28" s="436"/>
      <c r="G28" s="446"/>
      <c r="H28" s="436"/>
      <c r="I28" s="447"/>
      <c r="J28" s="436"/>
      <c r="K28" s="447"/>
      <c r="L28" s="436"/>
      <c r="M28" s="448" t="s">
        <v>554</v>
      </c>
      <c r="N28" s="449"/>
      <c r="O28" s="450"/>
      <c r="P28" s="449"/>
      <c r="Q28" s="441"/>
      <c r="R28" s="449"/>
      <c r="S28" s="441"/>
      <c r="T28" s="449"/>
      <c r="U28" s="451"/>
    </row>
    <row r="29" spans="1:21" ht="39.950000000000003" customHeight="1" x14ac:dyDescent="0.25">
      <c r="A29" s="571">
        <f t="shared" si="0"/>
        <v>16</v>
      </c>
      <c r="B29" s="92">
        <v>16</v>
      </c>
      <c r="C29" s="49" t="s">
        <v>333</v>
      </c>
      <c r="D29" s="391">
        <v>44170</v>
      </c>
      <c r="E29" s="456" t="s">
        <v>554</v>
      </c>
      <c r="F29" s="447"/>
      <c r="G29" s="452"/>
      <c r="H29" s="447"/>
      <c r="I29" s="438"/>
      <c r="J29" s="447"/>
      <c r="K29" s="438"/>
      <c r="L29" s="447"/>
      <c r="M29" s="453" t="s">
        <v>554</v>
      </c>
      <c r="N29" s="441"/>
      <c r="O29" s="454"/>
      <c r="P29" s="441"/>
      <c r="Q29" s="443"/>
      <c r="R29" s="441"/>
      <c r="S29" s="443"/>
      <c r="T29" s="441"/>
      <c r="U29" s="455"/>
    </row>
    <row r="30" spans="1:21" ht="39.950000000000003" customHeight="1" x14ac:dyDescent="0.25">
      <c r="A30" s="571">
        <f t="shared" si="0"/>
        <v>17</v>
      </c>
      <c r="B30" s="92">
        <v>17</v>
      </c>
      <c r="C30" s="49" t="s">
        <v>333</v>
      </c>
      <c r="D30" s="391">
        <v>44201</v>
      </c>
      <c r="E30" s="445" t="s">
        <v>554</v>
      </c>
      <c r="F30" s="436"/>
      <c r="G30" s="446"/>
      <c r="H30" s="436"/>
      <c r="I30" s="447"/>
      <c r="J30" s="436"/>
      <c r="K30" s="447"/>
      <c r="L30" s="436"/>
      <c r="M30" s="448" t="s">
        <v>554</v>
      </c>
      <c r="N30" s="449"/>
      <c r="O30" s="450"/>
      <c r="P30" s="449"/>
      <c r="Q30" s="441"/>
      <c r="R30" s="449"/>
      <c r="S30" s="441"/>
      <c r="T30" s="449"/>
      <c r="U30" s="451"/>
    </row>
    <row r="31" spans="1:21" ht="39.950000000000003" customHeight="1" x14ac:dyDescent="0.25">
      <c r="A31" s="571">
        <f t="shared" si="0"/>
        <v>18</v>
      </c>
      <c r="B31" s="92">
        <v>18</v>
      </c>
      <c r="C31" s="49" t="s">
        <v>333</v>
      </c>
      <c r="D31" s="391">
        <v>44230</v>
      </c>
      <c r="E31" s="456" t="s">
        <v>554</v>
      </c>
      <c r="F31" s="447"/>
      <c r="G31" s="452"/>
      <c r="H31" s="447"/>
      <c r="I31" s="438"/>
      <c r="J31" s="447"/>
      <c r="K31" s="438"/>
      <c r="L31" s="447"/>
      <c r="M31" s="453" t="s">
        <v>554</v>
      </c>
      <c r="N31" s="441"/>
      <c r="O31" s="454"/>
      <c r="P31" s="441"/>
      <c r="Q31" s="443"/>
      <c r="R31" s="441"/>
      <c r="S31" s="443"/>
      <c r="T31" s="441"/>
      <c r="U31" s="455"/>
    </row>
    <row r="32" spans="1:21" ht="39.950000000000003" customHeight="1" x14ac:dyDescent="0.25">
      <c r="A32" s="571">
        <f t="shared" si="0"/>
        <v>19</v>
      </c>
      <c r="B32" s="92">
        <v>19</v>
      </c>
      <c r="C32" s="49" t="s">
        <v>333</v>
      </c>
      <c r="D32" s="391">
        <v>44259</v>
      </c>
      <c r="E32" s="445" t="s">
        <v>554</v>
      </c>
      <c r="F32" s="436"/>
      <c r="G32" s="446"/>
      <c r="H32" s="436"/>
      <c r="I32" s="447"/>
      <c r="J32" s="436"/>
      <c r="K32" s="447"/>
      <c r="L32" s="436"/>
      <c r="M32" s="448" t="s">
        <v>554</v>
      </c>
      <c r="N32" s="449"/>
      <c r="O32" s="450"/>
      <c r="P32" s="449"/>
      <c r="Q32" s="441"/>
      <c r="R32" s="449"/>
      <c r="S32" s="441"/>
      <c r="T32" s="449"/>
      <c r="U32" s="451"/>
    </row>
    <row r="33" spans="1:21" ht="39.950000000000003" customHeight="1" x14ac:dyDescent="0.25">
      <c r="A33" s="571">
        <f t="shared" si="0"/>
        <v>20</v>
      </c>
      <c r="B33" s="92">
        <v>20</v>
      </c>
      <c r="C33" s="49" t="s">
        <v>333</v>
      </c>
      <c r="D33" s="391">
        <v>44291</v>
      </c>
      <c r="E33" s="456" t="s">
        <v>554</v>
      </c>
      <c r="F33" s="447"/>
      <c r="G33" s="452"/>
      <c r="H33" s="447"/>
      <c r="I33" s="438"/>
      <c r="J33" s="447"/>
      <c r="K33" s="438"/>
      <c r="L33" s="447"/>
      <c r="M33" s="453" t="s">
        <v>554</v>
      </c>
      <c r="N33" s="441"/>
      <c r="O33" s="454"/>
      <c r="P33" s="441"/>
      <c r="Q33" s="443"/>
      <c r="R33" s="441"/>
      <c r="S33" s="443"/>
      <c r="T33" s="441"/>
      <c r="U33" s="455"/>
    </row>
    <row r="34" spans="1:21" ht="39.950000000000003" customHeight="1" x14ac:dyDescent="0.25">
      <c r="A34" s="571">
        <f t="shared" si="0"/>
        <v>21</v>
      </c>
      <c r="B34" s="92">
        <v>21</v>
      </c>
      <c r="C34" s="53" t="s">
        <v>333</v>
      </c>
      <c r="D34" s="391">
        <v>44319</v>
      </c>
      <c r="E34" s="445" t="s">
        <v>554</v>
      </c>
      <c r="F34" s="436"/>
      <c r="G34" s="446"/>
      <c r="H34" s="436"/>
      <c r="I34" s="447"/>
      <c r="J34" s="436"/>
      <c r="K34" s="447"/>
      <c r="L34" s="436"/>
      <c r="M34" s="448" t="s">
        <v>554</v>
      </c>
      <c r="N34" s="449"/>
      <c r="O34" s="450"/>
      <c r="P34" s="449"/>
      <c r="Q34" s="441"/>
      <c r="R34" s="449"/>
      <c r="S34" s="441"/>
      <c r="T34" s="449"/>
      <c r="U34" s="451"/>
    </row>
    <row r="35" spans="1:21" ht="39.950000000000003" customHeight="1" x14ac:dyDescent="0.25">
      <c r="A35" s="571">
        <f t="shared" si="0"/>
        <v>22</v>
      </c>
      <c r="B35" s="92">
        <v>22</v>
      </c>
      <c r="C35" s="49" t="s">
        <v>333</v>
      </c>
      <c r="D35" s="391">
        <v>44351</v>
      </c>
      <c r="E35" s="456" t="s">
        <v>554</v>
      </c>
      <c r="F35" s="447"/>
      <c r="G35" s="452"/>
      <c r="H35" s="447"/>
      <c r="I35" s="438"/>
      <c r="J35" s="447"/>
      <c r="K35" s="438"/>
      <c r="L35" s="447"/>
      <c r="M35" s="453" t="s">
        <v>554</v>
      </c>
      <c r="N35" s="441"/>
      <c r="O35" s="454"/>
      <c r="P35" s="441"/>
      <c r="Q35" s="443"/>
      <c r="R35" s="441"/>
      <c r="S35" s="443"/>
      <c r="T35" s="441"/>
      <c r="U35" s="455"/>
    </row>
    <row r="36" spans="1:21" ht="39.950000000000003" customHeight="1" x14ac:dyDescent="0.25">
      <c r="A36" s="571">
        <f t="shared" si="0"/>
        <v>23</v>
      </c>
      <c r="B36" s="92">
        <v>23</v>
      </c>
      <c r="C36" s="49" t="s">
        <v>333</v>
      </c>
      <c r="D36" s="391">
        <v>44379</v>
      </c>
      <c r="E36" s="445" t="s">
        <v>554</v>
      </c>
      <c r="F36" s="436"/>
      <c r="G36" s="446"/>
      <c r="H36" s="436"/>
      <c r="I36" s="447"/>
      <c r="J36" s="436"/>
      <c r="K36" s="447"/>
      <c r="L36" s="436"/>
      <c r="M36" s="448" t="s">
        <v>554</v>
      </c>
      <c r="N36" s="449"/>
      <c r="O36" s="450"/>
      <c r="P36" s="449"/>
      <c r="Q36" s="441"/>
      <c r="R36" s="449"/>
      <c r="S36" s="441"/>
      <c r="T36" s="449"/>
      <c r="U36" s="451"/>
    </row>
    <row r="37" spans="1:21" ht="39.950000000000003" customHeight="1" x14ac:dyDescent="0.25">
      <c r="A37" s="571">
        <f t="shared" si="0"/>
        <v>24</v>
      </c>
      <c r="B37" s="92">
        <v>24</v>
      </c>
      <c r="C37" s="49" t="s">
        <v>333</v>
      </c>
      <c r="D37" s="391">
        <v>44412</v>
      </c>
      <c r="E37" s="456" t="s">
        <v>554</v>
      </c>
      <c r="F37" s="447"/>
      <c r="G37" s="452"/>
      <c r="H37" s="447"/>
      <c r="I37" s="438"/>
      <c r="J37" s="447"/>
      <c r="K37" s="438"/>
      <c r="L37" s="447"/>
      <c r="M37" s="453" t="s">
        <v>554</v>
      </c>
      <c r="N37" s="441"/>
      <c r="O37" s="454"/>
      <c r="P37" s="441"/>
      <c r="Q37" s="443"/>
      <c r="R37" s="441"/>
      <c r="S37" s="443"/>
      <c r="T37" s="441"/>
      <c r="U37" s="455"/>
    </row>
    <row r="38" spans="1:21" ht="39.950000000000003" customHeight="1" x14ac:dyDescent="0.25">
      <c r="A38" s="571">
        <f t="shared" si="0"/>
        <v>25</v>
      </c>
      <c r="B38" s="92">
        <v>25</v>
      </c>
      <c r="C38" s="49" t="s">
        <v>333</v>
      </c>
      <c r="D38" s="391">
        <v>44077</v>
      </c>
      <c r="E38" s="445" t="s">
        <v>554</v>
      </c>
      <c r="F38" s="436"/>
      <c r="G38" s="446"/>
      <c r="H38" s="436"/>
      <c r="I38" s="447"/>
      <c r="J38" s="436"/>
      <c r="K38" s="447"/>
      <c r="L38" s="436"/>
      <c r="M38" s="448" t="s">
        <v>554</v>
      </c>
      <c r="N38" s="449"/>
      <c r="O38" s="450"/>
      <c r="P38" s="449"/>
      <c r="Q38" s="441"/>
      <c r="R38" s="449"/>
      <c r="S38" s="441"/>
      <c r="T38" s="449"/>
      <c r="U38" s="451"/>
    </row>
    <row r="39" spans="1:21" ht="39.950000000000003" customHeight="1" x14ac:dyDescent="0.25">
      <c r="A39" s="571">
        <f t="shared" si="0"/>
        <v>26</v>
      </c>
      <c r="B39" s="92">
        <v>26</v>
      </c>
      <c r="C39" s="49" t="s">
        <v>333</v>
      </c>
      <c r="D39" s="391">
        <v>44077</v>
      </c>
      <c r="E39" s="456" t="s">
        <v>554</v>
      </c>
      <c r="F39" s="447"/>
      <c r="G39" s="452"/>
      <c r="H39" s="447"/>
      <c r="I39" s="438"/>
      <c r="J39" s="447"/>
      <c r="K39" s="438"/>
      <c r="L39" s="447"/>
      <c r="M39" s="453" t="s">
        <v>554</v>
      </c>
      <c r="N39" s="441"/>
      <c r="O39" s="454"/>
      <c r="P39" s="441"/>
      <c r="Q39" s="443"/>
      <c r="R39" s="441"/>
      <c r="S39" s="443"/>
      <c r="T39" s="441"/>
      <c r="U39" s="455"/>
    </row>
    <row r="40" spans="1:21" ht="39.950000000000003" customHeight="1" x14ac:dyDescent="0.25">
      <c r="A40" s="571">
        <f t="shared" si="0"/>
        <v>27</v>
      </c>
      <c r="B40" s="92">
        <v>27</v>
      </c>
      <c r="C40" s="49" t="s">
        <v>333</v>
      </c>
      <c r="D40" s="391">
        <v>44137</v>
      </c>
      <c r="E40" s="445" t="s">
        <v>554</v>
      </c>
      <c r="F40" s="436"/>
      <c r="G40" s="446"/>
      <c r="H40" s="436"/>
      <c r="I40" s="447"/>
      <c r="J40" s="436"/>
      <c r="K40" s="447"/>
      <c r="L40" s="436"/>
      <c r="M40" s="448" t="s">
        <v>554</v>
      </c>
      <c r="N40" s="449"/>
      <c r="O40" s="450"/>
      <c r="P40" s="449"/>
      <c r="Q40" s="441"/>
      <c r="R40" s="449"/>
      <c r="S40" s="441"/>
      <c r="T40" s="449"/>
      <c r="U40" s="451"/>
    </row>
    <row r="41" spans="1:21" ht="39.950000000000003" customHeight="1" x14ac:dyDescent="0.25">
      <c r="A41" s="571">
        <f t="shared" si="0"/>
        <v>28</v>
      </c>
      <c r="B41" s="92">
        <v>28</v>
      </c>
      <c r="C41" s="49" t="s">
        <v>333</v>
      </c>
      <c r="D41" s="391">
        <v>44170</v>
      </c>
      <c r="E41" s="456" t="s">
        <v>554</v>
      </c>
      <c r="F41" s="447"/>
      <c r="G41" s="452"/>
      <c r="H41" s="447"/>
      <c r="I41" s="438"/>
      <c r="J41" s="447"/>
      <c r="K41" s="438"/>
      <c r="L41" s="447"/>
      <c r="M41" s="453" t="s">
        <v>554</v>
      </c>
      <c r="N41" s="441"/>
      <c r="O41" s="454"/>
      <c r="P41" s="441"/>
      <c r="Q41" s="443"/>
      <c r="R41" s="441"/>
      <c r="S41" s="443"/>
      <c r="T41" s="441"/>
      <c r="U41" s="455"/>
    </row>
    <row r="42" spans="1:21" ht="39.950000000000003" customHeight="1" x14ac:dyDescent="0.25">
      <c r="A42" s="571">
        <f t="shared" si="0"/>
        <v>29</v>
      </c>
      <c r="B42" s="92">
        <v>29</v>
      </c>
      <c r="C42" s="49" t="s">
        <v>333</v>
      </c>
      <c r="D42" s="391">
        <v>44201</v>
      </c>
      <c r="E42" s="445" t="s">
        <v>554</v>
      </c>
      <c r="F42" s="436"/>
      <c r="G42" s="446"/>
      <c r="H42" s="436"/>
      <c r="I42" s="447"/>
      <c r="J42" s="436"/>
      <c r="K42" s="447"/>
      <c r="L42" s="436"/>
      <c r="M42" s="448" t="s">
        <v>554</v>
      </c>
      <c r="N42" s="449"/>
      <c r="O42" s="450"/>
      <c r="P42" s="449"/>
      <c r="Q42" s="441"/>
      <c r="R42" s="449"/>
      <c r="S42" s="441"/>
      <c r="T42" s="449"/>
      <c r="U42" s="451"/>
    </row>
    <row r="43" spans="1:21" ht="39.950000000000003" customHeight="1" x14ac:dyDescent="0.25">
      <c r="A43" s="571">
        <f t="shared" si="0"/>
        <v>30</v>
      </c>
      <c r="B43" s="92">
        <v>30</v>
      </c>
      <c r="C43" s="49" t="s">
        <v>333</v>
      </c>
      <c r="D43" s="391">
        <v>44230</v>
      </c>
      <c r="E43" s="456" t="s">
        <v>554</v>
      </c>
      <c r="F43" s="447"/>
      <c r="G43" s="452"/>
      <c r="H43" s="447"/>
      <c r="I43" s="438"/>
      <c r="J43" s="447"/>
      <c r="K43" s="438"/>
      <c r="L43" s="447"/>
      <c r="M43" s="453" t="s">
        <v>554</v>
      </c>
      <c r="N43" s="441"/>
      <c r="O43" s="454"/>
      <c r="P43" s="441"/>
      <c r="Q43" s="443"/>
      <c r="R43" s="441"/>
      <c r="S43" s="443"/>
      <c r="T43" s="441"/>
      <c r="U43" s="455"/>
    </row>
    <row r="44" spans="1:21" ht="39.950000000000003" customHeight="1" x14ac:dyDescent="0.25">
      <c r="A44" s="571">
        <f t="shared" si="0"/>
        <v>31</v>
      </c>
      <c r="B44" s="92">
        <v>31</v>
      </c>
      <c r="C44" s="53" t="s">
        <v>333</v>
      </c>
      <c r="D44" s="391">
        <v>44259</v>
      </c>
      <c r="E44" s="445" t="s">
        <v>554</v>
      </c>
      <c r="F44" s="436"/>
      <c r="G44" s="446"/>
      <c r="H44" s="436"/>
      <c r="I44" s="447"/>
      <c r="J44" s="436"/>
      <c r="K44" s="447"/>
      <c r="L44" s="436"/>
      <c r="M44" s="448" t="s">
        <v>554</v>
      </c>
      <c r="N44" s="449"/>
      <c r="O44" s="450"/>
      <c r="P44" s="449"/>
      <c r="Q44" s="441"/>
      <c r="R44" s="449"/>
      <c r="S44" s="441"/>
      <c r="T44" s="449"/>
      <c r="U44" s="451"/>
    </row>
    <row r="45" spans="1:21" ht="39.950000000000003" customHeight="1" x14ac:dyDescent="0.25">
      <c r="A45" s="571">
        <f t="shared" si="0"/>
        <v>32</v>
      </c>
      <c r="B45" s="92">
        <v>32</v>
      </c>
      <c r="C45" s="49" t="s">
        <v>333</v>
      </c>
      <c r="D45" s="391">
        <v>44291</v>
      </c>
      <c r="E45" s="456" t="s">
        <v>554</v>
      </c>
      <c r="F45" s="447"/>
      <c r="G45" s="452"/>
      <c r="H45" s="447"/>
      <c r="I45" s="438"/>
      <c r="J45" s="447"/>
      <c r="K45" s="438"/>
      <c r="L45" s="447"/>
      <c r="M45" s="453" t="s">
        <v>554</v>
      </c>
      <c r="N45" s="441"/>
      <c r="O45" s="454"/>
      <c r="P45" s="441"/>
      <c r="Q45" s="443"/>
      <c r="R45" s="441"/>
      <c r="S45" s="443"/>
      <c r="T45" s="441"/>
      <c r="U45" s="455"/>
    </row>
    <row r="46" spans="1:21" ht="39.950000000000003" customHeight="1" x14ac:dyDescent="0.25">
      <c r="A46" s="571">
        <f t="shared" si="0"/>
        <v>33</v>
      </c>
      <c r="B46" s="92">
        <v>33</v>
      </c>
      <c r="C46" s="49" t="s">
        <v>333</v>
      </c>
      <c r="D46" s="391">
        <v>44319</v>
      </c>
      <c r="E46" s="445" t="s">
        <v>554</v>
      </c>
      <c r="F46" s="436"/>
      <c r="G46" s="446"/>
      <c r="H46" s="436"/>
      <c r="I46" s="447"/>
      <c r="J46" s="436"/>
      <c r="K46" s="447"/>
      <c r="L46" s="436"/>
      <c r="M46" s="448" t="s">
        <v>554</v>
      </c>
      <c r="N46" s="449"/>
      <c r="O46" s="450"/>
      <c r="P46" s="449"/>
      <c r="Q46" s="441"/>
      <c r="R46" s="449"/>
      <c r="S46" s="441"/>
      <c r="T46" s="449"/>
      <c r="U46" s="451"/>
    </row>
    <row r="47" spans="1:21" ht="39.950000000000003" customHeight="1" x14ac:dyDescent="0.25">
      <c r="A47" s="571">
        <f t="shared" si="0"/>
        <v>34</v>
      </c>
      <c r="B47" s="92">
        <v>34</v>
      </c>
      <c r="C47" s="49" t="s">
        <v>333</v>
      </c>
      <c r="D47" s="391">
        <v>44351</v>
      </c>
      <c r="E47" s="456" t="s">
        <v>554</v>
      </c>
      <c r="F47" s="447"/>
      <c r="G47" s="452"/>
      <c r="H47" s="447"/>
      <c r="I47" s="438"/>
      <c r="J47" s="447"/>
      <c r="K47" s="438"/>
      <c r="L47" s="447"/>
      <c r="M47" s="453" t="s">
        <v>554</v>
      </c>
      <c r="N47" s="441"/>
      <c r="O47" s="454"/>
      <c r="P47" s="441"/>
      <c r="Q47" s="443"/>
      <c r="R47" s="441"/>
      <c r="S47" s="443"/>
      <c r="T47" s="441"/>
      <c r="U47" s="455"/>
    </row>
    <row r="48" spans="1:21" ht="39.950000000000003" customHeight="1" x14ac:dyDescent="0.25">
      <c r="A48" s="571">
        <f t="shared" si="0"/>
        <v>35</v>
      </c>
      <c r="B48" s="92">
        <v>35</v>
      </c>
      <c r="C48" s="49" t="s">
        <v>333</v>
      </c>
      <c r="D48" s="391">
        <v>44379</v>
      </c>
      <c r="E48" s="445" t="s">
        <v>554</v>
      </c>
      <c r="F48" s="436"/>
      <c r="G48" s="446"/>
      <c r="H48" s="436"/>
      <c r="I48" s="447"/>
      <c r="J48" s="436"/>
      <c r="K48" s="447"/>
      <c r="L48" s="436"/>
      <c r="M48" s="448" t="s">
        <v>554</v>
      </c>
      <c r="N48" s="449"/>
      <c r="O48" s="450"/>
      <c r="P48" s="449"/>
      <c r="Q48" s="441"/>
      <c r="R48" s="449"/>
      <c r="S48" s="441"/>
      <c r="T48" s="449"/>
      <c r="U48" s="451"/>
    </row>
    <row r="49" spans="1:21" ht="39.950000000000003" customHeight="1" x14ac:dyDescent="0.25">
      <c r="A49" s="571">
        <f t="shared" si="0"/>
        <v>36</v>
      </c>
      <c r="B49" s="92">
        <v>36</v>
      </c>
      <c r="C49" s="49" t="s">
        <v>333</v>
      </c>
      <c r="D49" s="391">
        <v>44412</v>
      </c>
      <c r="E49" s="456" t="s">
        <v>554</v>
      </c>
      <c r="F49" s="447"/>
      <c r="G49" s="452"/>
      <c r="H49" s="447"/>
      <c r="I49" s="438"/>
      <c r="J49" s="447"/>
      <c r="K49" s="438"/>
      <c r="L49" s="447"/>
      <c r="M49" s="453" t="s">
        <v>554</v>
      </c>
      <c r="N49" s="441"/>
      <c r="O49" s="454"/>
      <c r="P49" s="441"/>
      <c r="Q49" s="443"/>
      <c r="R49" s="441"/>
      <c r="S49" s="443"/>
      <c r="T49" s="441"/>
      <c r="U49" s="455"/>
    </row>
    <row r="50" spans="1:21" ht="39.950000000000003" customHeight="1" x14ac:dyDescent="0.25">
      <c r="A50" s="571">
        <f t="shared" si="0"/>
        <v>37</v>
      </c>
      <c r="B50" s="92">
        <v>37</v>
      </c>
      <c r="C50" s="49" t="s">
        <v>333</v>
      </c>
      <c r="D50" s="391">
        <v>44077</v>
      </c>
      <c r="E50" s="445" t="s">
        <v>554</v>
      </c>
      <c r="F50" s="436"/>
      <c r="G50" s="446"/>
      <c r="H50" s="436"/>
      <c r="I50" s="447"/>
      <c r="J50" s="436"/>
      <c r="K50" s="447"/>
      <c r="L50" s="436"/>
      <c r="M50" s="448" t="s">
        <v>554</v>
      </c>
      <c r="N50" s="449"/>
      <c r="O50" s="450"/>
      <c r="P50" s="449"/>
      <c r="Q50" s="441"/>
      <c r="R50" s="449"/>
      <c r="S50" s="441"/>
      <c r="T50" s="449"/>
      <c r="U50" s="451"/>
    </row>
    <row r="51" spans="1:21" ht="39.950000000000003" customHeight="1" x14ac:dyDescent="0.25">
      <c r="A51" s="571">
        <f t="shared" si="0"/>
        <v>38</v>
      </c>
      <c r="B51" s="92">
        <v>38</v>
      </c>
      <c r="C51" s="49" t="s">
        <v>333</v>
      </c>
      <c r="D51" s="391">
        <v>44077</v>
      </c>
      <c r="E51" s="456" t="s">
        <v>554</v>
      </c>
      <c r="F51" s="447"/>
      <c r="G51" s="452"/>
      <c r="H51" s="447"/>
      <c r="I51" s="438"/>
      <c r="J51" s="447"/>
      <c r="K51" s="438"/>
      <c r="L51" s="447"/>
      <c r="M51" s="453" t="s">
        <v>554</v>
      </c>
      <c r="N51" s="441"/>
      <c r="O51" s="454"/>
      <c r="P51" s="441"/>
      <c r="Q51" s="443"/>
      <c r="R51" s="441"/>
      <c r="S51" s="443"/>
      <c r="T51" s="441"/>
      <c r="U51" s="455"/>
    </row>
    <row r="52" spans="1:21" ht="39.950000000000003" customHeight="1" x14ac:dyDescent="0.25">
      <c r="A52" s="571">
        <f t="shared" si="0"/>
        <v>39</v>
      </c>
      <c r="B52" s="92">
        <v>39</v>
      </c>
      <c r="C52" s="49" t="s">
        <v>333</v>
      </c>
      <c r="D52" s="391">
        <v>44137</v>
      </c>
      <c r="E52" s="445" t="s">
        <v>554</v>
      </c>
      <c r="F52" s="436"/>
      <c r="G52" s="446"/>
      <c r="H52" s="436"/>
      <c r="I52" s="447"/>
      <c r="J52" s="436"/>
      <c r="K52" s="447"/>
      <c r="L52" s="436"/>
      <c r="M52" s="448" t="s">
        <v>554</v>
      </c>
      <c r="N52" s="449"/>
      <c r="O52" s="450"/>
      <c r="P52" s="449"/>
      <c r="Q52" s="441"/>
      <c r="R52" s="449"/>
      <c r="S52" s="441"/>
      <c r="T52" s="449"/>
      <c r="U52" s="451"/>
    </row>
    <row r="53" spans="1:21" ht="39.950000000000003" customHeight="1" x14ac:dyDescent="0.25">
      <c r="A53" s="571">
        <f t="shared" si="0"/>
        <v>40</v>
      </c>
      <c r="B53" s="92">
        <v>40</v>
      </c>
      <c r="C53" s="49" t="s">
        <v>333</v>
      </c>
      <c r="D53" s="391">
        <v>44170</v>
      </c>
      <c r="E53" s="456" t="s">
        <v>554</v>
      </c>
      <c r="F53" s="447"/>
      <c r="G53" s="452"/>
      <c r="H53" s="447"/>
      <c r="I53" s="438"/>
      <c r="J53" s="447"/>
      <c r="K53" s="438"/>
      <c r="L53" s="447"/>
      <c r="M53" s="453" t="s">
        <v>554</v>
      </c>
      <c r="N53" s="441"/>
      <c r="O53" s="454"/>
      <c r="P53" s="441"/>
      <c r="Q53" s="443"/>
      <c r="R53" s="441"/>
      <c r="S53" s="443"/>
      <c r="T53" s="441"/>
      <c r="U53" s="455"/>
    </row>
    <row r="54" spans="1:21" ht="39.950000000000003" customHeight="1" x14ac:dyDescent="0.25">
      <c r="A54" s="571">
        <f t="shared" si="0"/>
        <v>41</v>
      </c>
      <c r="B54" s="92">
        <v>41</v>
      </c>
      <c r="C54" s="53" t="s">
        <v>333</v>
      </c>
      <c r="D54" s="391">
        <v>44201</v>
      </c>
      <c r="E54" s="445" t="s">
        <v>554</v>
      </c>
      <c r="F54" s="436"/>
      <c r="G54" s="446"/>
      <c r="H54" s="436"/>
      <c r="I54" s="447"/>
      <c r="J54" s="436"/>
      <c r="K54" s="447"/>
      <c r="L54" s="436"/>
      <c r="M54" s="448" t="s">
        <v>554</v>
      </c>
      <c r="N54" s="449"/>
      <c r="O54" s="450"/>
      <c r="P54" s="449"/>
      <c r="Q54" s="441"/>
      <c r="R54" s="449"/>
      <c r="S54" s="441"/>
      <c r="T54" s="449"/>
      <c r="U54" s="451"/>
    </row>
    <row r="55" spans="1:21" ht="39.950000000000003" customHeight="1" x14ac:dyDescent="0.25">
      <c r="A55" s="571">
        <f t="shared" si="0"/>
        <v>42</v>
      </c>
      <c r="B55" s="92">
        <v>42</v>
      </c>
      <c r="C55" s="49" t="s">
        <v>333</v>
      </c>
      <c r="D55" s="391">
        <v>44230</v>
      </c>
      <c r="E55" s="456" t="s">
        <v>554</v>
      </c>
      <c r="F55" s="447"/>
      <c r="G55" s="452"/>
      <c r="H55" s="447"/>
      <c r="I55" s="438"/>
      <c r="J55" s="447"/>
      <c r="K55" s="438"/>
      <c r="L55" s="447"/>
      <c r="M55" s="453" t="s">
        <v>554</v>
      </c>
      <c r="N55" s="441"/>
      <c r="O55" s="454"/>
      <c r="P55" s="441"/>
      <c r="Q55" s="443"/>
      <c r="R55" s="441"/>
      <c r="S55" s="443"/>
      <c r="T55" s="441"/>
      <c r="U55" s="455"/>
    </row>
    <row r="56" spans="1:21" ht="39.950000000000003" customHeight="1" x14ac:dyDescent="0.25">
      <c r="A56" s="571">
        <f t="shared" si="0"/>
        <v>43</v>
      </c>
      <c r="B56" s="92">
        <v>43</v>
      </c>
      <c r="C56" s="49" t="s">
        <v>333</v>
      </c>
      <c r="D56" s="391">
        <v>44259</v>
      </c>
      <c r="E56" s="445" t="s">
        <v>554</v>
      </c>
      <c r="F56" s="436"/>
      <c r="G56" s="446"/>
      <c r="H56" s="436"/>
      <c r="I56" s="447"/>
      <c r="J56" s="436"/>
      <c r="K56" s="447"/>
      <c r="L56" s="436"/>
      <c r="M56" s="448" t="s">
        <v>554</v>
      </c>
      <c r="N56" s="449"/>
      <c r="O56" s="450"/>
      <c r="P56" s="449"/>
      <c r="Q56" s="441"/>
      <c r="R56" s="449"/>
      <c r="S56" s="441"/>
      <c r="T56" s="449"/>
      <c r="U56" s="451"/>
    </row>
    <row r="57" spans="1:21" ht="39.950000000000003" customHeight="1" x14ac:dyDescent="0.25">
      <c r="A57" s="571">
        <f t="shared" si="0"/>
        <v>44</v>
      </c>
      <c r="B57" s="92">
        <v>44</v>
      </c>
      <c r="C57" s="49" t="s">
        <v>333</v>
      </c>
      <c r="D57" s="391">
        <v>44291</v>
      </c>
      <c r="E57" s="456" t="s">
        <v>554</v>
      </c>
      <c r="F57" s="447"/>
      <c r="G57" s="452"/>
      <c r="H57" s="447"/>
      <c r="I57" s="438"/>
      <c r="J57" s="447"/>
      <c r="K57" s="438"/>
      <c r="L57" s="447"/>
      <c r="M57" s="453" t="s">
        <v>554</v>
      </c>
      <c r="N57" s="441"/>
      <c r="O57" s="454"/>
      <c r="P57" s="441"/>
      <c r="Q57" s="443"/>
      <c r="R57" s="441"/>
      <c r="S57" s="443"/>
      <c r="T57" s="441"/>
      <c r="U57" s="455"/>
    </row>
    <row r="58" spans="1:21" ht="39.950000000000003" customHeight="1" x14ac:dyDescent="0.25">
      <c r="A58" s="571">
        <f t="shared" si="0"/>
        <v>45</v>
      </c>
      <c r="B58" s="92">
        <v>45</v>
      </c>
      <c r="C58" s="49" t="s">
        <v>333</v>
      </c>
      <c r="D58" s="391">
        <v>44319</v>
      </c>
      <c r="E58" s="445" t="s">
        <v>554</v>
      </c>
      <c r="F58" s="436"/>
      <c r="G58" s="446"/>
      <c r="H58" s="436"/>
      <c r="I58" s="447"/>
      <c r="J58" s="436"/>
      <c r="K58" s="447"/>
      <c r="L58" s="436"/>
      <c r="M58" s="448" t="s">
        <v>554</v>
      </c>
      <c r="N58" s="449"/>
      <c r="O58" s="450"/>
      <c r="P58" s="449"/>
      <c r="Q58" s="441"/>
      <c r="R58" s="449"/>
      <c r="S58" s="441"/>
      <c r="T58" s="449"/>
      <c r="U58" s="451"/>
    </row>
    <row r="59" spans="1:21" ht="39.950000000000003" customHeight="1" x14ac:dyDescent="0.25">
      <c r="A59" s="571">
        <f t="shared" si="0"/>
        <v>46</v>
      </c>
      <c r="B59" s="92">
        <v>46</v>
      </c>
      <c r="C59" s="49" t="s">
        <v>333</v>
      </c>
      <c r="D59" s="391">
        <v>44351</v>
      </c>
      <c r="E59" s="456" t="s">
        <v>554</v>
      </c>
      <c r="F59" s="447"/>
      <c r="G59" s="452"/>
      <c r="H59" s="447"/>
      <c r="I59" s="438"/>
      <c r="J59" s="447"/>
      <c r="K59" s="438"/>
      <c r="L59" s="447"/>
      <c r="M59" s="453" t="s">
        <v>554</v>
      </c>
      <c r="N59" s="441"/>
      <c r="O59" s="454"/>
      <c r="P59" s="441"/>
      <c r="Q59" s="443"/>
      <c r="R59" s="441"/>
      <c r="S59" s="443"/>
      <c r="T59" s="441"/>
      <c r="U59" s="455"/>
    </row>
    <row r="60" spans="1:21" ht="39.950000000000003" customHeight="1" x14ac:dyDescent="0.25">
      <c r="A60" s="571">
        <f t="shared" si="0"/>
        <v>47</v>
      </c>
      <c r="B60" s="92">
        <v>47</v>
      </c>
      <c r="C60" s="49" t="s">
        <v>333</v>
      </c>
      <c r="D60" s="391">
        <v>44379</v>
      </c>
      <c r="E60" s="445" t="s">
        <v>554</v>
      </c>
      <c r="F60" s="436"/>
      <c r="G60" s="446"/>
      <c r="H60" s="436"/>
      <c r="I60" s="447"/>
      <c r="J60" s="436"/>
      <c r="K60" s="447"/>
      <c r="L60" s="436"/>
      <c r="M60" s="448" t="s">
        <v>554</v>
      </c>
      <c r="N60" s="449"/>
      <c r="O60" s="450"/>
      <c r="P60" s="449"/>
      <c r="Q60" s="441"/>
      <c r="R60" s="449"/>
      <c r="S60" s="441"/>
      <c r="T60" s="449"/>
      <c r="U60" s="451"/>
    </row>
    <row r="61" spans="1:21" ht="39.950000000000003" customHeight="1" x14ac:dyDescent="0.25">
      <c r="A61" s="571">
        <f t="shared" si="0"/>
        <v>48</v>
      </c>
      <c r="B61" s="92">
        <v>48</v>
      </c>
      <c r="C61" s="49" t="s">
        <v>333</v>
      </c>
      <c r="D61" s="391">
        <v>44412</v>
      </c>
      <c r="E61" s="456" t="s">
        <v>554</v>
      </c>
      <c r="F61" s="447"/>
      <c r="G61" s="452"/>
      <c r="H61" s="447"/>
      <c r="I61" s="438"/>
      <c r="J61" s="447"/>
      <c r="K61" s="438"/>
      <c r="L61" s="447"/>
      <c r="M61" s="453" t="s">
        <v>554</v>
      </c>
      <c r="N61" s="441"/>
      <c r="O61" s="454"/>
      <c r="P61" s="441"/>
      <c r="Q61" s="443"/>
      <c r="R61" s="441"/>
      <c r="S61" s="443"/>
      <c r="T61" s="441"/>
      <c r="U61" s="455"/>
    </row>
    <row r="62" spans="1:21" ht="39.950000000000003" customHeight="1" x14ac:dyDescent="0.25">
      <c r="A62" s="571">
        <f t="shared" si="0"/>
        <v>49</v>
      </c>
      <c r="B62" s="92">
        <v>49</v>
      </c>
      <c r="C62" s="49" t="s">
        <v>333</v>
      </c>
      <c r="D62" s="391">
        <v>44076</v>
      </c>
      <c r="E62" s="445" t="s">
        <v>554</v>
      </c>
      <c r="F62" s="436"/>
      <c r="G62" s="446"/>
      <c r="H62" s="436"/>
      <c r="I62" s="447"/>
      <c r="J62" s="436"/>
      <c r="K62" s="447"/>
      <c r="L62" s="436"/>
      <c r="M62" s="448" t="s">
        <v>554</v>
      </c>
      <c r="N62" s="449"/>
      <c r="O62" s="450"/>
      <c r="P62" s="449"/>
      <c r="Q62" s="441"/>
      <c r="R62" s="449"/>
      <c r="S62" s="441"/>
      <c r="T62" s="449"/>
      <c r="U62" s="451"/>
    </row>
    <row r="63" spans="1:21" ht="39.950000000000003" customHeight="1" x14ac:dyDescent="0.25">
      <c r="A63" s="571">
        <f t="shared" si="0"/>
        <v>50</v>
      </c>
      <c r="B63" s="92">
        <v>50</v>
      </c>
      <c r="C63" s="49" t="s">
        <v>333</v>
      </c>
      <c r="D63" s="391">
        <v>44139</v>
      </c>
      <c r="E63" s="456" t="s">
        <v>554</v>
      </c>
      <c r="F63" s="447"/>
      <c r="G63" s="452"/>
      <c r="H63" s="447"/>
      <c r="I63" s="438"/>
      <c r="J63" s="447"/>
      <c r="K63" s="438"/>
      <c r="L63" s="447"/>
      <c r="M63" s="453" t="s">
        <v>554</v>
      </c>
      <c r="N63" s="441"/>
      <c r="O63" s="454"/>
      <c r="P63" s="441"/>
      <c r="Q63" s="443"/>
      <c r="R63" s="441"/>
      <c r="S63" s="443"/>
      <c r="T63" s="441"/>
      <c r="U63" s="455"/>
    </row>
  </sheetData>
  <mergeCells count="27">
    <mergeCell ref="B12:D12"/>
    <mergeCell ref="M6:Q6"/>
    <mergeCell ref="M7:Q7"/>
    <mergeCell ref="M8:Q8"/>
    <mergeCell ref="M9:Q9"/>
    <mergeCell ref="M10:Q10"/>
    <mergeCell ref="I6:L6"/>
    <mergeCell ref="I7:L7"/>
    <mergeCell ref="I8:L8"/>
    <mergeCell ref="A10:D10"/>
    <mergeCell ref="E10:F10"/>
    <mergeCell ref="G10:H10"/>
    <mergeCell ref="I9:L9"/>
    <mergeCell ref="I10:L10"/>
    <mergeCell ref="E12:L12"/>
    <mergeCell ref="M12:T12"/>
    <mergeCell ref="A2:Q2"/>
    <mergeCell ref="A3:Q3"/>
    <mergeCell ref="A4:Q4"/>
    <mergeCell ref="A5:Q5"/>
    <mergeCell ref="A11:Q11"/>
    <mergeCell ref="A6:D6"/>
    <mergeCell ref="E6:H6"/>
    <mergeCell ref="A7:D7"/>
    <mergeCell ref="E7:H7"/>
    <mergeCell ref="A8:D9"/>
    <mergeCell ref="E8:H9"/>
  </mergeCells>
  <dataValidations count="3">
    <dataValidation allowBlank="1" showInputMessage="1" showErrorMessage="1" prompt="For Grantee's own use. Do not send any identifying information with report. " sqref="B14:B63" xr:uid="{0AD26796-78B4-4D9F-BDFA-25EC19A46F16}"/>
    <dataValidation type="custom" allowBlank="1" showInputMessage="1" showErrorMessage="1" prompt="Internal Client I.D.  Use alphabet and/or number characters only. Limit to 15 characters. Needs to match GPRA. " sqref="C14:C63" xr:uid="{310639A9-4F61-40C2-8561-5832AE643F02}">
      <formula1>AND(ISNUMBER(SUMPRODUCT(SEARCH(MID(C14,ROW(INDIRECT("1:15"&amp;LEN(C14))),1),"0123456789ABCDEFGHIJKLMNOPQRSTUVWXYZ"))),LEN(C14)&lt;=15)</formula1>
    </dataValidation>
    <dataValidation allowBlank="1" showInputMessage="1" showErrorMessage="1" prompt="Use MM/DD/YYYY format (00/00/0000). Leave blank until the date is needed. " sqref="D14:D63" xr:uid="{3DB20D7A-FD92-4F2D-809F-9E4628ACE0FE}"/>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213BE6E-486C-48E0-9221-1966F172E89D}">
          <x14:formula1>
            <xm:f>'Pick List '!$C$4:$C$9</xm:f>
          </x14:formula1>
          <xm:sqref>G10</xm:sqref>
        </x14:dataValidation>
        <x14:dataValidation type="list" allowBlank="1" showInputMessage="1" showErrorMessage="1" xr:uid="{D250A4BE-3637-4BC2-AA70-011D1E565F4A}">
          <x14:formula1>
            <xm:f>'Pick List '!$A$4:$A$15</xm:f>
          </x14:formula1>
          <xm:sqref>E10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2ED78-744A-49EB-A336-20BCE549ECC3}">
  <sheetPr>
    <tabColor theme="5" tint="-0.499984740745262"/>
  </sheetPr>
  <dimension ref="A1:AM69"/>
  <sheetViews>
    <sheetView topLeftCell="W1" workbookViewId="0">
      <pane ySplit="1" topLeftCell="A56" activePane="bottomLeft" state="frozen"/>
      <selection activeCell="N1" sqref="N1"/>
      <selection pane="bottomLeft" activeCell="F12" sqref="F12:AM62"/>
    </sheetView>
  </sheetViews>
  <sheetFormatPr defaultRowHeight="15" x14ac:dyDescent="0.25"/>
  <cols>
    <col min="1" max="1" width="5.28515625" customWidth="1"/>
    <col min="2" max="2" width="13.85546875" customWidth="1"/>
    <col min="3" max="3" width="11.28515625" customWidth="1"/>
    <col min="4" max="4" width="12.42578125" customWidth="1"/>
    <col min="5" max="5" width="12.7109375" customWidth="1"/>
    <col min="6" max="6" width="9.7109375" customWidth="1"/>
    <col min="7" max="26" width="12.7109375" customWidth="1"/>
    <col min="28" max="38" width="12.7109375" customWidth="1"/>
  </cols>
  <sheetData>
    <row r="1" spans="1:39" ht="60" customHeight="1" x14ac:dyDescent="0.25">
      <c r="A1" s="13" t="s">
        <v>245</v>
      </c>
      <c r="B1" s="58" t="s">
        <v>336</v>
      </c>
      <c r="C1" s="59" t="s">
        <v>337</v>
      </c>
      <c r="D1" s="58" t="s">
        <v>511</v>
      </c>
      <c r="E1" s="59" t="s">
        <v>512</v>
      </c>
      <c r="F1" s="70" t="s">
        <v>304</v>
      </c>
      <c r="G1" s="157" t="s">
        <v>380</v>
      </c>
      <c r="H1" s="116" t="s">
        <v>306</v>
      </c>
      <c r="I1" s="117" t="s">
        <v>307</v>
      </c>
      <c r="J1" s="118" t="s">
        <v>367</v>
      </c>
      <c r="K1" s="115" t="s">
        <v>366</v>
      </c>
      <c r="L1" s="155" t="s">
        <v>375</v>
      </c>
      <c r="M1" s="162" t="s">
        <v>310</v>
      </c>
      <c r="N1" s="163" t="s">
        <v>311</v>
      </c>
      <c r="O1" s="164" t="s">
        <v>368</v>
      </c>
      <c r="P1" s="165" t="s">
        <v>382</v>
      </c>
      <c r="Q1" s="166" t="s">
        <v>376</v>
      </c>
      <c r="R1" s="187" t="s">
        <v>314</v>
      </c>
      <c r="S1" s="188" t="s">
        <v>315</v>
      </c>
      <c r="T1" s="189" t="s">
        <v>369</v>
      </c>
      <c r="U1" s="190" t="s">
        <v>381</v>
      </c>
      <c r="V1" s="191" t="s">
        <v>377</v>
      </c>
      <c r="W1" s="57" t="s">
        <v>318</v>
      </c>
      <c r="X1" s="56" t="s">
        <v>319</v>
      </c>
      <c r="Y1" s="192" t="s">
        <v>370</v>
      </c>
      <c r="Z1" s="193" t="s">
        <v>371</v>
      </c>
      <c r="AA1" s="194" t="s">
        <v>321</v>
      </c>
      <c r="AB1" s="195" t="s">
        <v>378</v>
      </c>
      <c r="AC1" s="196" t="s">
        <v>323</v>
      </c>
      <c r="AD1" s="197" t="s">
        <v>324</v>
      </c>
      <c r="AE1" s="198" t="s">
        <v>384</v>
      </c>
      <c r="AF1" s="199" t="s">
        <v>383</v>
      </c>
      <c r="AG1" s="200" t="s">
        <v>327</v>
      </c>
      <c r="AH1" s="201" t="s">
        <v>328</v>
      </c>
      <c r="AI1" s="200" t="s">
        <v>329</v>
      </c>
      <c r="AJ1" s="202" t="s">
        <v>330</v>
      </c>
      <c r="AK1" s="203" t="s">
        <v>340</v>
      </c>
      <c r="AL1" s="204" t="s">
        <v>331</v>
      </c>
      <c r="AM1" s="205" t="s">
        <v>332</v>
      </c>
    </row>
    <row r="2" spans="1:39"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3"/>
      <c r="M2" s="1103"/>
      <c r="N2" s="1103"/>
      <c r="O2" s="227"/>
      <c r="P2" s="79"/>
      <c r="Q2" s="79"/>
      <c r="R2" s="228"/>
      <c r="S2" s="228"/>
      <c r="T2" s="228"/>
      <c r="U2" s="228"/>
      <c r="V2" s="228"/>
      <c r="W2" s="228"/>
      <c r="X2" s="228"/>
      <c r="Y2" s="228"/>
      <c r="Z2" s="228"/>
      <c r="AA2" s="228"/>
      <c r="AB2" s="228"/>
      <c r="AC2" s="228"/>
      <c r="AD2" s="228"/>
      <c r="AE2" s="228"/>
      <c r="AF2" s="228"/>
      <c r="AG2" s="228"/>
      <c r="AH2" s="228"/>
      <c r="AI2" s="228"/>
      <c r="AJ2" s="228"/>
      <c r="AK2" s="228"/>
      <c r="AL2" s="228"/>
      <c r="AM2" s="229"/>
    </row>
    <row r="3" spans="1:39" ht="15.75" x14ac:dyDescent="0.25">
      <c r="A3" s="1105" t="str">
        <f>'BASE GRANTEE INFO &amp; UPDATES'!A2</f>
        <v>FISCAL YEAR: 2025 (09/30/2024 - 09/29/2025)</v>
      </c>
      <c r="B3" s="1106"/>
      <c r="C3" s="1106"/>
      <c r="D3" s="1106"/>
      <c r="E3" s="1106"/>
      <c r="F3" s="1106"/>
      <c r="G3" s="1106"/>
      <c r="H3" s="1106"/>
      <c r="I3" s="1106"/>
      <c r="J3" s="1106"/>
      <c r="K3" s="1106"/>
      <c r="L3" s="1106"/>
      <c r="M3" s="1106"/>
      <c r="N3" s="1106"/>
      <c r="O3" s="170"/>
      <c r="P3" s="80"/>
      <c r="Q3" s="80"/>
      <c r="R3" s="82"/>
      <c r="S3" s="82"/>
      <c r="T3" s="82"/>
      <c r="U3" s="82"/>
      <c r="V3" s="82"/>
      <c r="W3" s="82"/>
      <c r="X3" s="82"/>
      <c r="Y3" s="82"/>
      <c r="Z3" s="82"/>
      <c r="AA3" s="82"/>
      <c r="AB3" s="82"/>
      <c r="AC3" s="82"/>
      <c r="AD3" s="82"/>
      <c r="AE3" s="82"/>
      <c r="AF3" s="82"/>
      <c r="AG3" s="82"/>
      <c r="AH3" s="82"/>
      <c r="AI3" s="82"/>
      <c r="AJ3" s="82"/>
      <c r="AK3" s="82"/>
      <c r="AL3" s="82"/>
      <c r="AM3" s="83"/>
    </row>
    <row r="4" spans="1:39" ht="15.75" x14ac:dyDescent="0.25">
      <c r="A4" s="1108" t="str">
        <f>'BASE GRANTEE INFO &amp; UPDATES'!A3</f>
        <v xml:space="preserve">Program reports need to be submitted electronically, via e-mail to BBHReporting@wv.gov  within 25 calendar days of the end of each month </v>
      </c>
      <c r="B4" s="1109"/>
      <c r="C4" s="1109"/>
      <c r="D4" s="1109"/>
      <c r="E4" s="1109"/>
      <c r="F4" s="1109"/>
      <c r="G4" s="1109"/>
      <c r="H4" s="1109"/>
      <c r="I4" s="1109"/>
      <c r="J4" s="1109"/>
      <c r="K4" s="1109"/>
      <c r="L4" s="1109"/>
      <c r="M4" s="1109"/>
      <c r="N4" s="1109"/>
      <c r="O4" s="171"/>
      <c r="P4" s="81"/>
      <c r="Q4" s="81"/>
      <c r="R4" s="82"/>
      <c r="S4" s="82"/>
      <c r="T4" s="82"/>
      <c r="U4" s="82"/>
      <c r="V4" s="82"/>
      <c r="W4" s="82"/>
      <c r="X4" s="82"/>
      <c r="Y4" s="82"/>
      <c r="Z4" s="82"/>
      <c r="AA4" s="82"/>
      <c r="AB4" s="82"/>
      <c r="AC4" s="82"/>
      <c r="AD4" s="82"/>
      <c r="AE4" s="82"/>
      <c r="AF4" s="82"/>
      <c r="AG4" s="82"/>
      <c r="AH4" s="82"/>
      <c r="AI4" s="82"/>
      <c r="AJ4" s="82"/>
      <c r="AK4" s="82"/>
      <c r="AL4" s="82"/>
      <c r="AM4" s="83"/>
    </row>
    <row r="5" spans="1:39" ht="18.75" x14ac:dyDescent="0.25">
      <c r="A5" s="1112" t="s">
        <v>436</v>
      </c>
      <c r="B5" s="1112"/>
      <c r="C5" s="1112"/>
      <c r="D5" s="1112"/>
      <c r="E5" s="1112"/>
      <c r="F5" s="1112"/>
      <c r="G5" s="1112"/>
      <c r="H5" s="1112"/>
      <c r="I5" s="1112"/>
      <c r="J5" s="1112"/>
      <c r="K5" s="1112"/>
      <c r="L5" s="1112"/>
      <c r="M5" s="1112"/>
      <c r="N5" s="1112"/>
      <c r="O5" s="172"/>
      <c r="P5" s="12"/>
      <c r="Q5" s="12"/>
      <c r="R5" s="82"/>
      <c r="S5" s="82"/>
      <c r="T5" s="82"/>
      <c r="U5" s="82"/>
      <c r="V5" s="82"/>
      <c r="W5" s="82"/>
      <c r="X5" s="82"/>
      <c r="Y5" s="82"/>
      <c r="Z5" s="82"/>
      <c r="AA5" s="82"/>
      <c r="AB5" s="82"/>
      <c r="AC5" s="82"/>
      <c r="AD5" s="82"/>
      <c r="AE5" s="82"/>
      <c r="AF5" s="82"/>
      <c r="AG5" s="82"/>
      <c r="AH5" s="82"/>
      <c r="AI5" s="82"/>
      <c r="AJ5" s="82"/>
      <c r="AK5" s="82"/>
      <c r="AL5" s="82"/>
      <c r="AM5" s="83"/>
    </row>
    <row r="6" spans="1:39" ht="20.100000000000001" customHeight="1" x14ac:dyDescent="0.25">
      <c r="A6" s="1142" t="s">
        <v>0</v>
      </c>
      <c r="B6" s="1142"/>
      <c r="C6" s="1142"/>
      <c r="D6" s="1142"/>
      <c r="E6" s="1152" t="str">
        <f>'BASE GRANTEE INFO &amp; UPDATES'!E5</f>
        <v xml:space="preserve">Community Anti-Drug Coalitions of America (CADCA) and Teen Court </v>
      </c>
      <c r="F6" s="1153"/>
      <c r="G6" s="1153"/>
      <c r="H6" s="1154"/>
      <c r="I6" s="1146" t="s">
        <v>1</v>
      </c>
      <c r="J6" s="1147"/>
      <c r="K6" s="1147"/>
      <c r="L6" s="1148">
        <f>'BASE GRANTEE INFO &amp; UPDATES'!M5</f>
        <v>0</v>
      </c>
      <c r="M6" s="1148"/>
      <c r="N6" s="1148"/>
      <c r="O6" s="125"/>
      <c r="P6" s="93"/>
      <c r="Q6" s="93"/>
      <c r="R6" s="82"/>
      <c r="S6" s="82"/>
      <c r="T6" s="82"/>
      <c r="U6" s="82"/>
      <c r="V6" s="82"/>
      <c r="W6" s="82"/>
      <c r="X6" s="82"/>
      <c r="Y6" s="82"/>
      <c r="Z6" s="82"/>
      <c r="AA6" s="82"/>
      <c r="AB6" s="82"/>
      <c r="AC6" s="82"/>
      <c r="AD6" s="82"/>
      <c r="AE6" s="82"/>
      <c r="AF6" s="82"/>
      <c r="AG6" s="82"/>
      <c r="AH6" s="82"/>
      <c r="AI6" s="82"/>
      <c r="AJ6" s="82"/>
      <c r="AK6" s="82"/>
      <c r="AL6" s="82"/>
      <c r="AM6" s="83"/>
    </row>
    <row r="7" spans="1:39" ht="20.100000000000001" customHeight="1" x14ac:dyDescent="0.25">
      <c r="A7" s="1142" t="s">
        <v>2</v>
      </c>
      <c r="B7" s="1142"/>
      <c r="C7" s="1142"/>
      <c r="D7" s="1142"/>
      <c r="E7" s="1143" t="str">
        <f>'BASE GRANTEE INFO &amp; UPDATES'!E6</f>
        <v>CADCA In Action and Teen Court</v>
      </c>
      <c r="F7" s="1144"/>
      <c r="G7" s="1144"/>
      <c r="H7" s="1145"/>
      <c r="I7" s="1146" t="s">
        <v>3</v>
      </c>
      <c r="J7" s="1147"/>
      <c r="K7" s="1147"/>
      <c r="L7" s="1148">
        <f>'BASE GRANTEE INFO &amp; UPDATES'!M6</f>
        <v>0</v>
      </c>
      <c r="M7" s="1148"/>
      <c r="N7" s="1148"/>
      <c r="O7" s="125"/>
      <c r="P7" s="93"/>
      <c r="Q7" s="93"/>
      <c r="R7" s="82"/>
      <c r="S7" s="82"/>
      <c r="T7" s="82"/>
      <c r="U7" s="82"/>
      <c r="V7" s="82"/>
      <c r="W7" s="82"/>
      <c r="X7" s="82"/>
      <c r="Y7" s="82"/>
      <c r="Z7" s="82"/>
      <c r="AA7" s="82"/>
      <c r="AB7" s="82"/>
      <c r="AC7" s="82"/>
      <c r="AD7" s="82"/>
      <c r="AE7" s="82"/>
      <c r="AF7" s="82"/>
      <c r="AG7" s="82"/>
      <c r="AH7" s="82"/>
      <c r="AI7" s="82"/>
      <c r="AJ7" s="82"/>
      <c r="AK7" s="82"/>
      <c r="AL7" s="82"/>
      <c r="AM7" s="83"/>
    </row>
    <row r="8" spans="1:39" ht="20.100000000000001" customHeight="1" x14ac:dyDescent="0.25">
      <c r="A8" s="1149" t="s">
        <v>4</v>
      </c>
      <c r="B8" s="1149"/>
      <c r="C8" s="1149"/>
      <c r="D8" s="1149"/>
      <c r="E8" s="1132">
        <f>'BASE GRANTEE INFO &amp; UPDATES'!E7</f>
        <v>0</v>
      </c>
      <c r="F8" s="1133"/>
      <c r="G8" s="1133"/>
      <c r="H8" s="1134"/>
      <c r="I8" s="1146" t="s">
        <v>374</v>
      </c>
      <c r="J8" s="1147"/>
      <c r="K8" s="1147"/>
      <c r="L8" s="1148">
        <f>'BASE GRANTEE INFO &amp; UPDATES'!M7</f>
        <v>0</v>
      </c>
      <c r="M8" s="1148"/>
      <c r="N8" s="1148"/>
      <c r="O8" s="125"/>
      <c r="P8" s="93"/>
      <c r="Q8" s="93"/>
      <c r="R8" s="82"/>
      <c r="S8" s="82"/>
      <c r="T8" s="82"/>
      <c r="U8" s="82"/>
      <c r="V8" s="82"/>
      <c r="W8" s="82"/>
      <c r="X8" s="82"/>
      <c r="Y8" s="82"/>
      <c r="Z8" s="82"/>
      <c r="AA8" s="82"/>
      <c r="AB8" s="82"/>
      <c r="AC8" s="82"/>
      <c r="AD8" s="82"/>
      <c r="AE8" s="82"/>
      <c r="AF8" s="82"/>
      <c r="AG8" s="82"/>
      <c r="AH8" s="82"/>
      <c r="AI8" s="82"/>
      <c r="AJ8" s="82"/>
      <c r="AK8" s="82"/>
      <c r="AL8" s="82"/>
      <c r="AM8" s="83"/>
    </row>
    <row r="9" spans="1:39" ht="20.100000000000001" customHeight="1" x14ac:dyDescent="0.25">
      <c r="A9" s="1149"/>
      <c r="B9" s="1149"/>
      <c r="C9" s="1149"/>
      <c r="D9" s="1149"/>
      <c r="E9" s="1135"/>
      <c r="F9" s="1136"/>
      <c r="G9" s="1136"/>
      <c r="H9" s="1137"/>
      <c r="I9" s="1150" t="s">
        <v>6</v>
      </c>
      <c r="J9" s="1151"/>
      <c r="K9" s="1151"/>
      <c r="L9" s="1148">
        <f>'BASE GRANTEE INFO &amp; UPDATES'!M8</f>
        <v>0</v>
      </c>
      <c r="M9" s="1148"/>
      <c r="N9" s="1148"/>
      <c r="O9" s="125"/>
      <c r="P9" s="93"/>
      <c r="Q9" s="93"/>
      <c r="R9" s="82"/>
      <c r="S9" s="82"/>
      <c r="T9" s="82"/>
      <c r="U9" s="82"/>
      <c r="V9" s="82"/>
      <c r="W9" s="82"/>
      <c r="X9" s="82"/>
      <c r="Y9" s="82"/>
      <c r="Z9" s="82"/>
      <c r="AA9" s="82"/>
      <c r="AB9" s="82"/>
      <c r="AC9" s="82"/>
      <c r="AD9" s="82"/>
      <c r="AE9" s="82"/>
      <c r="AF9" s="82"/>
      <c r="AG9" s="82"/>
      <c r="AH9" s="82"/>
      <c r="AI9" s="82"/>
      <c r="AJ9" s="82"/>
      <c r="AK9" s="82"/>
      <c r="AL9" s="82"/>
      <c r="AM9" s="83"/>
    </row>
    <row r="10" spans="1:39" ht="20.100000000000001" customHeight="1" x14ac:dyDescent="0.25">
      <c r="A10" s="1142" t="s">
        <v>7</v>
      </c>
      <c r="B10" s="1142"/>
      <c r="C10" s="1142"/>
      <c r="D10" s="1142"/>
      <c r="E10" s="879" t="str">
        <f>'BASE GRANTEE INFO &amp; UPDATES'!E9</f>
        <v>September 1 - 30</v>
      </c>
      <c r="F10" s="879"/>
      <c r="G10" s="1001">
        <f>'BASE GRANTEE INFO &amp; UPDATES'!G9</f>
        <v>2024</v>
      </c>
      <c r="H10" s="1002"/>
      <c r="I10" s="1150" t="s">
        <v>8</v>
      </c>
      <c r="J10" s="1151"/>
      <c r="K10" s="1151"/>
      <c r="L10" s="1148">
        <f>'BASE GRANTEE INFO &amp; UPDATES'!M9</f>
        <v>0</v>
      </c>
      <c r="M10" s="1148"/>
      <c r="N10" s="1148"/>
      <c r="O10" s="125"/>
      <c r="P10" s="93"/>
      <c r="Q10" s="93"/>
      <c r="R10" s="82"/>
      <c r="S10" s="82"/>
      <c r="T10" s="82"/>
      <c r="U10" s="82"/>
      <c r="V10" s="82"/>
      <c r="W10" s="82"/>
      <c r="X10" s="82"/>
      <c r="Y10" s="82"/>
      <c r="Z10" s="82"/>
      <c r="AA10" s="82"/>
      <c r="AB10" s="82"/>
      <c r="AC10" s="82"/>
      <c r="AD10" s="82"/>
      <c r="AE10" s="82"/>
      <c r="AF10" s="82"/>
      <c r="AG10" s="82"/>
      <c r="AH10" s="82"/>
      <c r="AI10" s="82"/>
      <c r="AJ10" s="82"/>
      <c r="AK10" s="82"/>
      <c r="AL10" s="82"/>
      <c r="AM10" s="83"/>
    </row>
    <row r="11" spans="1:39" ht="18.75" x14ac:dyDescent="0.25">
      <c r="A11" s="1112" t="s">
        <v>360</v>
      </c>
      <c r="B11" s="1112"/>
      <c r="C11" s="1112"/>
      <c r="D11" s="1112"/>
      <c r="E11" s="1112"/>
      <c r="F11" s="1112"/>
      <c r="G11" s="1112"/>
      <c r="H11" s="1112"/>
      <c r="I11" s="1112"/>
      <c r="J11" s="1112"/>
      <c r="K11" s="1112"/>
      <c r="L11" s="1112"/>
      <c r="M11" s="1112"/>
      <c r="N11" s="1112"/>
      <c r="O11" s="230"/>
      <c r="P11" s="84"/>
      <c r="Q11" s="84"/>
      <c r="R11" s="231"/>
      <c r="S11" s="231"/>
      <c r="T11" s="231"/>
      <c r="U11" s="231"/>
      <c r="V11" s="231"/>
      <c r="W11" s="231"/>
      <c r="X11" s="231"/>
      <c r="Y11" s="231"/>
      <c r="Z11" s="231"/>
      <c r="AA11" s="231"/>
      <c r="AB11" s="231"/>
      <c r="AC11" s="231"/>
      <c r="AD11" s="231"/>
      <c r="AE11" s="231"/>
      <c r="AF11" s="231"/>
      <c r="AG11" s="231"/>
      <c r="AH11" s="231"/>
      <c r="AI11" s="231"/>
      <c r="AJ11" s="231"/>
      <c r="AK11" s="231"/>
      <c r="AL11" s="231"/>
      <c r="AM11" s="232"/>
    </row>
    <row r="12" spans="1:39" ht="60" customHeight="1" x14ac:dyDescent="0.25">
      <c r="A12" s="13" t="s">
        <v>245</v>
      </c>
      <c r="B12" s="58" t="s">
        <v>336</v>
      </c>
      <c r="C12" s="59" t="s">
        <v>337</v>
      </c>
      <c r="D12" s="58" t="s">
        <v>511</v>
      </c>
      <c r="E12" s="59" t="s">
        <v>512</v>
      </c>
      <c r="F12" s="114" t="s">
        <v>304</v>
      </c>
      <c r="G12" s="157" t="s">
        <v>379</v>
      </c>
      <c r="H12" s="116" t="s">
        <v>306</v>
      </c>
      <c r="I12" s="117" t="s">
        <v>307</v>
      </c>
      <c r="J12" s="118" t="s">
        <v>367</v>
      </c>
      <c r="K12" s="119" t="s">
        <v>366</v>
      </c>
      <c r="L12" s="155" t="s">
        <v>375</v>
      </c>
      <c r="M12" s="162" t="s">
        <v>310</v>
      </c>
      <c r="N12" s="163" t="s">
        <v>311</v>
      </c>
      <c r="O12" s="167" t="s">
        <v>368</v>
      </c>
      <c r="P12" s="168" t="s">
        <v>373</v>
      </c>
      <c r="Q12" s="169" t="s">
        <v>376</v>
      </c>
      <c r="R12" s="206" t="s">
        <v>314</v>
      </c>
      <c r="S12" s="207" t="s">
        <v>315</v>
      </c>
      <c r="T12" s="208" t="s">
        <v>369</v>
      </c>
      <c r="U12" s="209" t="s">
        <v>372</v>
      </c>
      <c r="V12" s="210" t="s">
        <v>377</v>
      </c>
      <c r="W12" s="211" t="s">
        <v>318</v>
      </c>
      <c r="X12" s="212" t="s">
        <v>319</v>
      </c>
      <c r="Y12" s="213" t="s">
        <v>370</v>
      </c>
      <c r="Z12" s="214" t="s">
        <v>371</v>
      </c>
      <c r="AA12" s="215" t="s">
        <v>321</v>
      </c>
      <c r="AB12" s="216" t="s">
        <v>378</v>
      </c>
      <c r="AC12" s="217" t="s">
        <v>323</v>
      </c>
      <c r="AD12" s="218" t="s">
        <v>324</v>
      </c>
      <c r="AE12" s="219" t="s">
        <v>384</v>
      </c>
      <c r="AF12" s="220" t="s">
        <v>383</v>
      </c>
      <c r="AG12" s="221" t="s">
        <v>327</v>
      </c>
      <c r="AH12" s="222" t="s">
        <v>328</v>
      </c>
      <c r="AI12" s="221" t="s">
        <v>329</v>
      </c>
      <c r="AJ12" s="223" t="s">
        <v>330</v>
      </c>
      <c r="AK12" s="224" t="s">
        <v>340</v>
      </c>
      <c r="AL12" s="225" t="s">
        <v>331</v>
      </c>
      <c r="AM12" s="226" t="s">
        <v>332</v>
      </c>
    </row>
    <row r="13" spans="1:39" ht="39.950000000000003" customHeight="1" x14ac:dyDescent="0.25">
      <c r="A13" s="151">
        <f>ROW(A1)</f>
        <v>1</v>
      </c>
      <c r="B13" s="110">
        <f>'2DEMOGRAPHICS'!B13</f>
        <v>1</v>
      </c>
      <c r="C13" s="111" t="str">
        <f>'2DEMOGRAPHICS'!C13</f>
        <v>aaaaa11111aaaaa</v>
      </c>
      <c r="D13" s="112">
        <f>'2DEMOGRAPHICS'!D13</f>
        <v>44075</v>
      </c>
      <c r="E13" s="113">
        <f>'2DEMOGRAPHICS'!E13</f>
        <v>44077</v>
      </c>
      <c r="F13" s="138" t="s">
        <v>100</v>
      </c>
      <c r="G13" s="158">
        <f>E13+30</f>
        <v>44107</v>
      </c>
      <c r="H13" s="129" t="s">
        <v>100</v>
      </c>
      <c r="I13" s="149" t="s">
        <v>100</v>
      </c>
      <c r="J13" s="131" t="s">
        <v>100</v>
      </c>
      <c r="K13" s="150" t="s">
        <v>22</v>
      </c>
      <c r="L13" s="156">
        <f>E13+60</f>
        <v>44137</v>
      </c>
      <c r="M13" s="146" t="s">
        <v>100</v>
      </c>
      <c r="N13" s="147" t="s">
        <v>100</v>
      </c>
      <c r="O13" s="154" t="s">
        <v>100</v>
      </c>
      <c r="P13" s="148" t="s">
        <v>22</v>
      </c>
      <c r="Q13" s="159">
        <f>E13+90</f>
        <v>44167</v>
      </c>
      <c r="R13" s="143" t="s">
        <v>100</v>
      </c>
      <c r="S13" s="144" t="s">
        <v>100</v>
      </c>
      <c r="T13" s="153" t="s">
        <v>100</v>
      </c>
      <c r="U13" s="145" t="s">
        <v>22</v>
      </c>
      <c r="V13" s="160">
        <f>E13+183</f>
        <v>44260</v>
      </c>
      <c r="W13" s="139" t="s">
        <v>100</v>
      </c>
      <c r="X13" s="140" t="s">
        <v>100</v>
      </c>
      <c r="Y13" s="152" t="s">
        <v>100</v>
      </c>
      <c r="Z13" s="141" t="s">
        <v>22</v>
      </c>
      <c r="AA13" s="142" t="s">
        <v>100</v>
      </c>
      <c r="AB13" s="161">
        <f>E13+365</f>
        <v>44442</v>
      </c>
      <c r="AC13" s="129" t="s">
        <v>100</v>
      </c>
      <c r="AD13" s="130" t="s">
        <v>100</v>
      </c>
      <c r="AE13" s="131" t="s">
        <v>100</v>
      </c>
      <c r="AF13" s="132" t="s">
        <v>22</v>
      </c>
      <c r="AG13" s="133">
        <v>44803</v>
      </c>
      <c r="AH13" s="134" t="s">
        <v>100</v>
      </c>
      <c r="AI13" s="135" t="s">
        <v>100</v>
      </c>
      <c r="AJ13" s="136" t="s">
        <v>100</v>
      </c>
      <c r="AK13" s="137" t="s">
        <v>22</v>
      </c>
      <c r="AL13" s="120">
        <f>AG13-E13</f>
        <v>726</v>
      </c>
      <c r="AM13" s="138" t="s">
        <v>100</v>
      </c>
    </row>
    <row r="14" spans="1:39" ht="39.950000000000003" customHeight="1" x14ac:dyDescent="0.25">
      <c r="A14" s="151">
        <f t="shared" ref="A14:A62" si="0">ROW(A2)</f>
        <v>2</v>
      </c>
      <c r="B14" s="110">
        <f>'2DEMOGRAPHICS'!B14</f>
        <v>2</v>
      </c>
      <c r="C14" s="111" t="str">
        <f>'2DEMOGRAPHICS'!C14</f>
        <v>aaaaa11111aaaaa</v>
      </c>
      <c r="D14" s="112">
        <f>'2DEMOGRAPHICS'!D14</f>
        <v>44105</v>
      </c>
      <c r="E14" s="113">
        <f>'2DEMOGRAPHICS'!E14</f>
        <v>44107</v>
      </c>
      <c r="F14" s="138" t="s">
        <v>104</v>
      </c>
      <c r="G14" s="158">
        <f t="shared" ref="G14:G62" si="1">E14+30</f>
        <v>44137</v>
      </c>
      <c r="H14" s="129" t="s">
        <v>104</v>
      </c>
      <c r="I14" s="149" t="s">
        <v>104</v>
      </c>
      <c r="J14" s="131" t="s">
        <v>104</v>
      </c>
      <c r="K14" s="150" t="s">
        <v>22</v>
      </c>
      <c r="L14" s="156">
        <f t="shared" ref="L14:L62" si="2">E14+60</f>
        <v>44167</v>
      </c>
      <c r="M14" s="146" t="s">
        <v>104</v>
      </c>
      <c r="N14" s="147" t="s">
        <v>104</v>
      </c>
      <c r="O14" s="154" t="s">
        <v>104</v>
      </c>
      <c r="P14" s="148" t="s">
        <v>22</v>
      </c>
      <c r="Q14" s="159">
        <f t="shared" ref="Q14:Q62" si="3">E14+90</f>
        <v>44197</v>
      </c>
      <c r="R14" s="143" t="s">
        <v>104</v>
      </c>
      <c r="S14" s="144" t="s">
        <v>104</v>
      </c>
      <c r="T14" s="153" t="s">
        <v>104</v>
      </c>
      <c r="U14" s="145" t="s">
        <v>22</v>
      </c>
      <c r="V14" s="160">
        <f t="shared" ref="V14:V62" si="4">E14+183</f>
        <v>44290</v>
      </c>
      <c r="W14" s="139" t="s">
        <v>104</v>
      </c>
      <c r="X14" s="140" t="s">
        <v>104</v>
      </c>
      <c r="Y14" s="152" t="s">
        <v>104</v>
      </c>
      <c r="Z14" s="141" t="s">
        <v>22</v>
      </c>
      <c r="AA14" s="142" t="s">
        <v>104</v>
      </c>
      <c r="AB14" s="161">
        <f t="shared" ref="AB14:AB62" si="5">E14+365</f>
        <v>44472</v>
      </c>
      <c r="AC14" s="129" t="s">
        <v>104</v>
      </c>
      <c r="AD14" s="130" t="s">
        <v>104</v>
      </c>
      <c r="AE14" s="131" t="s">
        <v>104</v>
      </c>
      <c r="AF14" s="132" t="s">
        <v>22</v>
      </c>
      <c r="AG14" s="133">
        <v>44803</v>
      </c>
      <c r="AH14" s="134" t="s">
        <v>104</v>
      </c>
      <c r="AI14" s="135" t="s">
        <v>104</v>
      </c>
      <c r="AJ14" s="136" t="s">
        <v>104</v>
      </c>
      <c r="AK14" s="137" t="s">
        <v>22</v>
      </c>
      <c r="AL14" s="120">
        <f t="shared" ref="AL14:AL62" si="6">AG14-E14</f>
        <v>696</v>
      </c>
      <c r="AM14" s="138" t="s">
        <v>104</v>
      </c>
    </row>
    <row r="15" spans="1:39" ht="39.950000000000003" customHeight="1" x14ac:dyDescent="0.25">
      <c r="A15" s="151">
        <f t="shared" si="0"/>
        <v>3</v>
      </c>
      <c r="B15" s="110">
        <f>'2DEMOGRAPHICS'!B15</f>
        <v>3</v>
      </c>
      <c r="C15" s="111" t="str">
        <f>'2DEMOGRAPHICS'!C15</f>
        <v>aaaaa11111aaaaa</v>
      </c>
      <c r="D15" s="112">
        <f>'2DEMOGRAPHICS'!D15</f>
        <v>44136</v>
      </c>
      <c r="E15" s="113">
        <f>'2DEMOGRAPHICS'!E15</f>
        <v>44137</v>
      </c>
      <c r="F15" s="138" t="s">
        <v>100</v>
      </c>
      <c r="G15" s="158">
        <f t="shared" si="1"/>
        <v>44167</v>
      </c>
      <c r="H15" s="129" t="s">
        <v>100</v>
      </c>
      <c r="I15" s="149" t="s">
        <v>100</v>
      </c>
      <c r="J15" s="131" t="s">
        <v>100</v>
      </c>
      <c r="K15" s="150" t="s">
        <v>22</v>
      </c>
      <c r="L15" s="156">
        <f t="shared" si="2"/>
        <v>44197</v>
      </c>
      <c r="M15" s="146" t="s">
        <v>100</v>
      </c>
      <c r="N15" s="147" t="s">
        <v>100</v>
      </c>
      <c r="O15" s="154" t="s">
        <v>100</v>
      </c>
      <c r="P15" s="148" t="s">
        <v>22</v>
      </c>
      <c r="Q15" s="159">
        <f t="shared" si="3"/>
        <v>44227</v>
      </c>
      <c r="R15" s="143" t="s">
        <v>100</v>
      </c>
      <c r="S15" s="144" t="s">
        <v>100</v>
      </c>
      <c r="T15" s="153" t="s">
        <v>100</v>
      </c>
      <c r="U15" s="145" t="s">
        <v>22</v>
      </c>
      <c r="V15" s="160">
        <f t="shared" si="4"/>
        <v>44320</v>
      </c>
      <c r="W15" s="139" t="s">
        <v>100</v>
      </c>
      <c r="X15" s="140" t="s">
        <v>100</v>
      </c>
      <c r="Y15" s="152" t="s">
        <v>100</v>
      </c>
      <c r="Z15" s="141" t="s">
        <v>22</v>
      </c>
      <c r="AA15" s="142" t="s">
        <v>100</v>
      </c>
      <c r="AB15" s="161">
        <f t="shared" si="5"/>
        <v>44502</v>
      </c>
      <c r="AC15" s="129" t="s">
        <v>100</v>
      </c>
      <c r="AD15" s="130" t="s">
        <v>100</v>
      </c>
      <c r="AE15" s="131" t="s">
        <v>100</v>
      </c>
      <c r="AF15" s="132" t="s">
        <v>22</v>
      </c>
      <c r="AG15" s="133">
        <v>44803</v>
      </c>
      <c r="AH15" s="134" t="s">
        <v>100</v>
      </c>
      <c r="AI15" s="135" t="s">
        <v>100</v>
      </c>
      <c r="AJ15" s="136" t="s">
        <v>100</v>
      </c>
      <c r="AK15" s="137" t="s">
        <v>22</v>
      </c>
      <c r="AL15" s="120">
        <f t="shared" si="6"/>
        <v>666</v>
      </c>
      <c r="AM15" s="138" t="s">
        <v>100</v>
      </c>
    </row>
    <row r="16" spans="1:39" ht="39.950000000000003" customHeight="1" x14ac:dyDescent="0.25">
      <c r="A16" s="151">
        <f t="shared" si="0"/>
        <v>4</v>
      </c>
      <c r="B16" s="110">
        <f>'2DEMOGRAPHICS'!B16</f>
        <v>4</v>
      </c>
      <c r="C16" s="111" t="str">
        <f>'2DEMOGRAPHICS'!C16</f>
        <v>aaaaa11111aaaaa</v>
      </c>
      <c r="D16" s="112">
        <f>'2DEMOGRAPHICS'!D16</f>
        <v>44166</v>
      </c>
      <c r="E16" s="113">
        <f>'2DEMOGRAPHICS'!E16</f>
        <v>44170</v>
      </c>
      <c r="F16" s="138" t="s">
        <v>104</v>
      </c>
      <c r="G16" s="158">
        <f t="shared" si="1"/>
        <v>44200</v>
      </c>
      <c r="H16" s="129" t="s">
        <v>104</v>
      </c>
      <c r="I16" s="149" t="s">
        <v>104</v>
      </c>
      <c r="J16" s="131" t="s">
        <v>104</v>
      </c>
      <c r="K16" s="150" t="s">
        <v>22</v>
      </c>
      <c r="L16" s="156">
        <f t="shared" si="2"/>
        <v>44230</v>
      </c>
      <c r="M16" s="146" t="s">
        <v>104</v>
      </c>
      <c r="N16" s="147" t="s">
        <v>104</v>
      </c>
      <c r="O16" s="154" t="s">
        <v>104</v>
      </c>
      <c r="P16" s="148" t="s">
        <v>22</v>
      </c>
      <c r="Q16" s="159">
        <f t="shared" si="3"/>
        <v>44260</v>
      </c>
      <c r="R16" s="143" t="s">
        <v>104</v>
      </c>
      <c r="S16" s="144" t="s">
        <v>104</v>
      </c>
      <c r="T16" s="153" t="s">
        <v>104</v>
      </c>
      <c r="U16" s="145" t="s">
        <v>22</v>
      </c>
      <c r="V16" s="160">
        <f t="shared" si="4"/>
        <v>44353</v>
      </c>
      <c r="W16" s="139" t="s">
        <v>104</v>
      </c>
      <c r="X16" s="140" t="s">
        <v>104</v>
      </c>
      <c r="Y16" s="152" t="s">
        <v>104</v>
      </c>
      <c r="Z16" s="141" t="s">
        <v>22</v>
      </c>
      <c r="AA16" s="142" t="s">
        <v>104</v>
      </c>
      <c r="AB16" s="161">
        <f t="shared" si="5"/>
        <v>44535</v>
      </c>
      <c r="AC16" s="129" t="s">
        <v>104</v>
      </c>
      <c r="AD16" s="130" t="s">
        <v>104</v>
      </c>
      <c r="AE16" s="131" t="s">
        <v>104</v>
      </c>
      <c r="AF16" s="132" t="s">
        <v>22</v>
      </c>
      <c r="AG16" s="133">
        <v>44803</v>
      </c>
      <c r="AH16" s="134" t="s">
        <v>104</v>
      </c>
      <c r="AI16" s="135" t="s">
        <v>104</v>
      </c>
      <c r="AJ16" s="136" t="s">
        <v>104</v>
      </c>
      <c r="AK16" s="137" t="s">
        <v>22</v>
      </c>
      <c r="AL16" s="120">
        <f t="shared" si="6"/>
        <v>633</v>
      </c>
      <c r="AM16" s="138" t="s">
        <v>104</v>
      </c>
    </row>
    <row r="17" spans="1:39" ht="39.950000000000003" customHeight="1" x14ac:dyDescent="0.25">
      <c r="A17" s="151">
        <f t="shared" si="0"/>
        <v>5</v>
      </c>
      <c r="B17" s="110">
        <f>'2DEMOGRAPHICS'!B17</f>
        <v>5</v>
      </c>
      <c r="C17" s="111" t="str">
        <f>'2DEMOGRAPHICS'!C17</f>
        <v>aaaaa11111aaaaa</v>
      </c>
      <c r="D17" s="112">
        <f>'2DEMOGRAPHICS'!D17</f>
        <v>44197</v>
      </c>
      <c r="E17" s="113">
        <f>'2DEMOGRAPHICS'!E17</f>
        <v>44201</v>
      </c>
      <c r="F17" s="138" t="s">
        <v>100</v>
      </c>
      <c r="G17" s="158">
        <f t="shared" si="1"/>
        <v>44231</v>
      </c>
      <c r="H17" s="129" t="s">
        <v>100</v>
      </c>
      <c r="I17" s="149" t="s">
        <v>100</v>
      </c>
      <c r="J17" s="131" t="s">
        <v>100</v>
      </c>
      <c r="K17" s="150" t="s">
        <v>22</v>
      </c>
      <c r="L17" s="156">
        <f t="shared" si="2"/>
        <v>44261</v>
      </c>
      <c r="M17" s="146" t="s">
        <v>100</v>
      </c>
      <c r="N17" s="147" t="s">
        <v>100</v>
      </c>
      <c r="O17" s="154" t="s">
        <v>100</v>
      </c>
      <c r="P17" s="148" t="s">
        <v>22</v>
      </c>
      <c r="Q17" s="159">
        <f t="shared" si="3"/>
        <v>44291</v>
      </c>
      <c r="R17" s="143" t="s">
        <v>100</v>
      </c>
      <c r="S17" s="144" t="s">
        <v>100</v>
      </c>
      <c r="T17" s="153" t="s">
        <v>100</v>
      </c>
      <c r="U17" s="145" t="s">
        <v>22</v>
      </c>
      <c r="V17" s="160">
        <f t="shared" si="4"/>
        <v>44384</v>
      </c>
      <c r="W17" s="139" t="s">
        <v>100</v>
      </c>
      <c r="X17" s="140" t="s">
        <v>100</v>
      </c>
      <c r="Y17" s="152" t="s">
        <v>100</v>
      </c>
      <c r="Z17" s="141" t="s">
        <v>22</v>
      </c>
      <c r="AA17" s="142" t="s">
        <v>100</v>
      </c>
      <c r="AB17" s="161">
        <f t="shared" si="5"/>
        <v>44566</v>
      </c>
      <c r="AC17" s="129" t="s">
        <v>100</v>
      </c>
      <c r="AD17" s="130" t="s">
        <v>100</v>
      </c>
      <c r="AE17" s="131" t="s">
        <v>100</v>
      </c>
      <c r="AF17" s="132" t="s">
        <v>22</v>
      </c>
      <c r="AG17" s="133">
        <v>44803</v>
      </c>
      <c r="AH17" s="134" t="s">
        <v>100</v>
      </c>
      <c r="AI17" s="135" t="s">
        <v>100</v>
      </c>
      <c r="AJ17" s="136" t="s">
        <v>100</v>
      </c>
      <c r="AK17" s="137" t="s">
        <v>22</v>
      </c>
      <c r="AL17" s="120">
        <f t="shared" si="6"/>
        <v>602</v>
      </c>
      <c r="AM17" s="138" t="s">
        <v>100</v>
      </c>
    </row>
    <row r="18" spans="1:39" ht="39.950000000000003" customHeight="1" x14ac:dyDescent="0.25">
      <c r="A18" s="151">
        <f t="shared" si="0"/>
        <v>6</v>
      </c>
      <c r="B18" s="110">
        <f>'2DEMOGRAPHICS'!B18</f>
        <v>6</v>
      </c>
      <c r="C18" s="111" t="str">
        <f>'2DEMOGRAPHICS'!C18</f>
        <v>aaaaa11111aaaaa</v>
      </c>
      <c r="D18" s="112">
        <f>'2DEMOGRAPHICS'!D18</f>
        <v>44228</v>
      </c>
      <c r="E18" s="113">
        <f>'2DEMOGRAPHICS'!E18</f>
        <v>44230</v>
      </c>
      <c r="F18" s="138" t="s">
        <v>104</v>
      </c>
      <c r="G18" s="158">
        <f t="shared" si="1"/>
        <v>44260</v>
      </c>
      <c r="H18" s="129" t="s">
        <v>104</v>
      </c>
      <c r="I18" s="149" t="s">
        <v>104</v>
      </c>
      <c r="J18" s="131" t="s">
        <v>104</v>
      </c>
      <c r="K18" s="150" t="s">
        <v>22</v>
      </c>
      <c r="L18" s="156">
        <f t="shared" si="2"/>
        <v>44290</v>
      </c>
      <c r="M18" s="146" t="s">
        <v>104</v>
      </c>
      <c r="N18" s="147" t="s">
        <v>104</v>
      </c>
      <c r="O18" s="154" t="s">
        <v>104</v>
      </c>
      <c r="P18" s="148" t="s">
        <v>22</v>
      </c>
      <c r="Q18" s="159">
        <f t="shared" si="3"/>
        <v>44320</v>
      </c>
      <c r="R18" s="143" t="s">
        <v>104</v>
      </c>
      <c r="S18" s="144" t="s">
        <v>104</v>
      </c>
      <c r="T18" s="153" t="s">
        <v>104</v>
      </c>
      <c r="U18" s="145" t="s">
        <v>22</v>
      </c>
      <c r="V18" s="160">
        <f t="shared" si="4"/>
        <v>44413</v>
      </c>
      <c r="W18" s="139" t="s">
        <v>104</v>
      </c>
      <c r="X18" s="140" t="s">
        <v>104</v>
      </c>
      <c r="Y18" s="152" t="s">
        <v>104</v>
      </c>
      <c r="Z18" s="141" t="s">
        <v>22</v>
      </c>
      <c r="AA18" s="142" t="s">
        <v>104</v>
      </c>
      <c r="AB18" s="161">
        <f t="shared" si="5"/>
        <v>44595</v>
      </c>
      <c r="AC18" s="129" t="s">
        <v>104</v>
      </c>
      <c r="AD18" s="130" t="s">
        <v>104</v>
      </c>
      <c r="AE18" s="131" t="s">
        <v>104</v>
      </c>
      <c r="AF18" s="132" t="s">
        <v>22</v>
      </c>
      <c r="AG18" s="133">
        <v>44803</v>
      </c>
      <c r="AH18" s="134" t="s">
        <v>104</v>
      </c>
      <c r="AI18" s="135" t="s">
        <v>104</v>
      </c>
      <c r="AJ18" s="136" t="s">
        <v>104</v>
      </c>
      <c r="AK18" s="137" t="s">
        <v>22</v>
      </c>
      <c r="AL18" s="120">
        <f t="shared" si="6"/>
        <v>573</v>
      </c>
      <c r="AM18" s="138" t="s">
        <v>104</v>
      </c>
    </row>
    <row r="19" spans="1:39" ht="39.950000000000003" customHeight="1" x14ac:dyDescent="0.25">
      <c r="A19" s="151">
        <f t="shared" si="0"/>
        <v>7</v>
      </c>
      <c r="B19" s="110">
        <f>'2DEMOGRAPHICS'!B19</f>
        <v>7</v>
      </c>
      <c r="C19" s="111" t="str">
        <f>'2DEMOGRAPHICS'!C19</f>
        <v>aaaaa11111aaaaa</v>
      </c>
      <c r="D19" s="112">
        <f>'2DEMOGRAPHICS'!D19</f>
        <v>44256</v>
      </c>
      <c r="E19" s="113">
        <f>'2DEMOGRAPHICS'!E19</f>
        <v>44259</v>
      </c>
      <c r="F19" s="138" t="s">
        <v>100</v>
      </c>
      <c r="G19" s="158">
        <f t="shared" si="1"/>
        <v>44289</v>
      </c>
      <c r="H19" s="129" t="s">
        <v>100</v>
      </c>
      <c r="I19" s="149" t="s">
        <v>100</v>
      </c>
      <c r="J19" s="131" t="s">
        <v>100</v>
      </c>
      <c r="K19" s="150" t="s">
        <v>22</v>
      </c>
      <c r="L19" s="156">
        <f t="shared" si="2"/>
        <v>44319</v>
      </c>
      <c r="M19" s="146" t="s">
        <v>100</v>
      </c>
      <c r="N19" s="147" t="s">
        <v>100</v>
      </c>
      <c r="O19" s="154" t="s">
        <v>100</v>
      </c>
      <c r="P19" s="148" t="s">
        <v>22</v>
      </c>
      <c r="Q19" s="159">
        <f t="shared" si="3"/>
        <v>44349</v>
      </c>
      <c r="R19" s="143" t="s">
        <v>100</v>
      </c>
      <c r="S19" s="144" t="s">
        <v>100</v>
      </c>
      <c r="T19" s="153" t="s">
        <v>100</v>
      </c>
      <c r="U19" s="145" t="s">
        <v>22</v>
      </c>
      <c r="V19" s="160">
        <f t="shared" si="4"/>
        <v>44442</v>
      </c>
      <c r="W19" s="139" t="s">
        <v>100</v>
      </c>
      <c r="X19" s="140" t="s">
        <v>100</v>
      </c>
      <c r="Y19" s="152" t="s">
        <v>100</v>
      </c>
      <c r="Z19" s="141" t="s">
        <v>22</v>
      </c>
      <c r="AA19" s="142" t="s">
        <v>100</v>
      </c>
      <c r="AB19" s="161">
        <f t="shared" si="5"/>
        <v>44624</v>
      </c>
      <c r="AC19" s="129" t="s">
        <v>100</v>
      </c>
      <c r="AD19" s="130" t="s">
        <v>100</v>
      </c>
      <c r="AE19" s="131" t="s">
        <v>100</v>
      </c>
      <c r="AF19" s="132" t="s">
        <v>22</v>
      </c>
      <c r="AG19" s="133">
        <v>44803</v>
      </c>
      <c r="AH19" s="134" t="s">
        <v>100</v>
      </c>
      <c r="AI19" s="135" t="s">
        <v>100</v>
      </c>
      <c r="AJ19" s="136" t="s">
        <v>100</v>
      </c>
      <c r="AK19" s="137" t="s">
        <v>22</v>
      </c>
      <c r="AL19" s="120">
        <f t="shared" si="6"/>
        <v>544</v>
      </c>
      <c r="AM19" s="138" t="s">
        <v>100</v>
      </c>
    </row>
    <row r="20" spans="1:39" ht="39.950000000000003" customHeight="1" x14ac:dyDescent="0.25">
      <c r="A20" s="151">
        <f t="shared" si="0"/>
        <v>8</v>
      </c>
      <c r="B20" s="110">
        <f>'2DEMOGRAPHICS'!B20</f>
        <v>8</v>
      </c>
      <c r="C20" s="111" t="str">
        <f>'2DEMOGRAPHICS'!C20</f>
        <v>aaaaa11111aaaaa</v>
      </c>
      <c r="D20" s="112">
        <f>'2DEMOGRAPHICS'!D20</f>
        <v>44287</v>
      </c>
      <c r="E20" s="113">
        <f>'2DEMOGRAPHICS'!E20</f>
        <v>44291</v>
      </c>
      <c r="F20" s="138" t="s">
        <v>104</v>
      </c>
      <c r="G20" s="158">
        <f t="shared" si="1"/>
        <v>44321</v>
      </c>
      <c r="H20" s="129" t="s">
        <v>104</v>
      </c>
      <c r="I20" s="149" t="s">
        <v>104</v>
      </c>
      <c r="J20" s="131" t="s">
        <v>104</v>
      </c>
      <c r="K20" s="150" t="s">
        <v>22</v>
      </c>
      <c r="L20" s="156">
        <f t="shared" si="2"/>
        <v>44351</v>
      </c>
      <c r="M20" s="146" t="s">
        <v>104</v>
      </c>
      <c r="N20" s="147" t="s">
        <v>104</v>
      </c>
      <c r="O20" s="154" t="s">
        <v>104</v>
      </c>
      <c r="P20" s="148" t="s">
        <v>22</v>
      </c>
      <c r="Q20" s="159">
        <f t="shared" si="3"/>
        <v>44381</v>
      </c>
      <c r="R20" s="143" t="s">
        <v>104</v>
      </c>
      <c r="S20" s="144" t="s">
        <v>104</v>
      </c>
      <c r="T20" s="153" t="s">
        <v>104</v>
      </c>
      <c r="U20" s="145" t="s">
        <v>22</v>
      </c>
      <c r="V20" s="160">
        <f t="shared" si="4"/>
        <v>44474</v>
      </c>
      <c r="W20" s="139" t="s">
        <v>104</v>
      </c>
      <c r="X20" s="140" t="s">
        <v>104</v>
      </c>
      <c r="Y20" s="152" t="s">
        <v>104</v>
      </c>
      <c r="Z20" s="141" t="s">
        <v>22</v>
      </c>
      <c r="AA20" s="142" t="s">
        <v>104</v>
      </c>
      <c r="AB20" s="161">
        <f t="shared" si="5"/>
        <v>44656</v>
      </c>
      <c r="AC20" s="129" t="s">
        <v>104</v>
      </c>
      <c r="AD20" s="130" t="s">
        <v>104</v>
      </c>
      <c r="AE20" s="131" t="s">
        <v>104</v>
      </c>
      <c r="AF20" s="132" t="s">
        <v>22</v>
      </c>
      <c r="AG20" s="133">
        <v>44803</v>
      </c>
      <c r="AH20" s="134" t="s">
        <v>104</v>
      </c>
      <c r="AI20" s="135" t="s">
        <v>104</v>
      </c>
      <c r="AJ20" s="136" t="s">
        <v>104</v>
      </c>
      <c r="AK20" s="137" t="s">
        <v>22</v>
      </c>
      <c r="AL20" s="120">
        <f t="shared" si="6"/>
        <v>512</v>
      </c>
      <c r="AM20" s="138" t="s">
        <v>104</v>
      </c>
    </row>
    <row r="21" spans="1:39" ht="39.950000000000003" customHeight="1" x14ac:dyDescent="0.25">
      <c r="A21" s="151">
        <f t="shared" si="0"/>
        <v>9</v>
      </c>
      <c r="B21" s="110">
        <f>'2DEMOGRAPHICS'!B21</f>
        <v>9</v>
      </c>
      <c r="C21" s="111" t="str">
        <f>'2DEMOGRAPHICS'!C21</f>
        <v>aaaaa11111aaaaa</v>
      </c>
      <c r="D21" s="112">
        <f>'2DEMOGRAPHICS'!D21</f>
        <v>44317</v>
      </c>
      <c r="E21" s="113">
        <f>'2DEMOGRAPHICS'!E21</f>
        <v>44319</v>
      </c>
      <c r="F21" s="138" t="s">
        <v>100</v>
      </c>
      <c r="G21" s="158">
        <f t="shared" si="1"/>
        <v>44349</v>
      </c>
      <c r="H21" s="129" t="s">
        <v>100</v>
      </c>
      <c r="I21" s="149" t="s">
        <v>100</v>
      </c>
      <c r="J21" s="131" t="s">
        <v>100</v>
      </c>
      <c r="K21" s="150" t="s">
        <v>22</v>
      </c>
      <c r="L21" s="156">
        <f t="shared" si="2"/>
        <v>44379</v>
      </c>
      <c r="M21" s="146" t="s">
        <v>100</v>
      </c>
      <c r="N21" s="147" t="s">
        <v>100</v>
      </c>
      <c r="O21" s="154" t="s">
        <v>100</v>
      </c>
      <c r="P21" s="148" t="s">
        <v>22</v>
      </c>
      <c r="Q21" s="159">
        <f t="shared" si="3"/>
        <v>44409</v>
      </c>
      <c r="R21" s="143" t="s">
        <v>100</v>
      </c>
      <c r="S21" s="144" t="s">
        <v>100</v>
      </c>
      <c r="T21" s="153" t="s">
        <v>100</v>
      </c>
      <c r="U21" s="145" t="s">
        <v>22</v>
      </c>
      <c r="V21" s="160">
        <f t="shared" si="4"/>
        <v>44502</v>
      </c>
      <c r="W21" s="139" t="s">
        <v>100</v>
      </c>
      <c r="X21" s="140" t="s">
        <v>100</v>
      </c>
      <c r="Y21" s="152" t="s">
        <v>100</v>
      </c>
      <c r="Z21" s="141" t="s">
        <v>22</v>
      </c>
      <c r="AA21" s="142" t="s">
        <v>100</v>
      </c>
      <c r="AB21" s="161">
        <f t="shared" si="5"/>
        <v>44684</v>
      </c>
      <c r="AC21" s="129" t="s">
        <v>100</v>
      </c>
      <c r="AD21" s="130" t="s">
        <v>100</v>
      </c>
      <c r="AE21" s="131" t="s">
        <v>100</v>
      </c>
      <c r="AF21" s="132" t="s">
        <v>22</v>
      </c>
      <c r="AG21" s="133">
        <v>44803</v>
      </c>
      <c r="AH21" s="134" t="s">
        <v>100</v>
      </c>
      <c r="AI21" s="135" t="s">
        <v>100</v>
      </c>
      <c r="AJ21" s="136" t="s">
        <v>100</v>
      </c>
      <c r="AK21" s="137" t="s">
        <v>22</v>
      </c>
      <c r="AL21" s="120">
        <f t="shared" si="6"/>
        <v>484</v>
      </c>
      <c r="AM21" s="138" t="s">
        <v>100</v>
      </c>
    </row>
    <row r="22" spans="1:39" ht="39.950000000000003" customHeight="1" x14ac:dyDescent="0.25">
      <c r="A22" s="151">
        <f t="shared" si="0"/>
        <v>10</v>
      </c>
      <c r="B22" s="110">
        <f>'2DEMOGRAPHICS'!B22</f>
        <v>10</v>
      </c>
      <c r="C22" s="111" t="str">
        <f>'2DEMOGRAPHICS'!C22</f>
        <v>aaaaa11111aaaaa</v>
      </c>
      <c r="D22" s="112">
        <f>'2DEMOGRAPHICS'!D22</f>
        <v>44348</v>
      </c>
      <c r="E22" s="113">
        <f>'2DEMOGRAPHICS'!E22</f>
        <v>44351</v>
      </c>
      <c r="F22" s="138" t="s">
        <v>104</v>
      </c>
      <c r="G22" s="158">
        <f t="shared" si="1"/>
        <v>44381</v>
      </c>
      <c r="H22" s="129" t="s">
        <v>104</v>
      </c>
      <c r="I22" s="149" t="s">
        <v>104</v>
      </c>
      <c r="J22" s="131" t="s">
        <v>104</v>
      </c>
      <c r="K22" s="150" t="s">
        <v>22</v>
      </c>
      <c r="L22" s="156">
        <f t="shared" si="2"/>
        <v>44411</v>
      </c>
      <c r="M22" s="146" t="s">
        <v>104</v>
      </c>
      <c r="N22" s="147" t="s">
        <v>104</v>
      </c>
      <c r="O22" s="154" t="s">
        <v>104</v>
      </c>
      <c r="P22" s="148" t="s">
        <v>22</v>
      </c>
      <c r="Q22" s="159">
        <f t="shared" si="3"/>
        <v>44441</v>
      </c>
      <c r="R22" s="143" t="s">
        <v>104</v>
      </c>
      <c r="S22" s="144" t="s">
        <v>104</v>
      </c>
      <c r="T22" s="153" t="s">
        <v>104</v>
      </c>
      <c r="U22" s="145" t="s">
        <v>22</v>
      </c>
      <c r="V22" s="160">
        <f t="shared" si="4"/>
        <v>44534</v>
      </c>
      <c r="W22" s="139" t="s">
        <v>104</v>
      </c>
      <c r="X22" s="140" t="s">
        <v>104</v>
      </c>
      <c r="Y22" s="152" t="s">
        <v>104</v>
      </c>
      <c r="Z22" s="141" t="s">
        <v>22</v>
      </c>
      <c r="AA22" s="142" t="s">
        <v>104</v>
      </c>
      <c r="AB22" s="161">
        <f t="shared" si="5"/>
        <v>44716</v>
      </c>
      <c r="AC22" s="129" t="s">
        <v>104</v>
      </c>
      <c r="AD22" s="130" t="s">
        <v>104</v>
      </c>
      <c r="AE22" s="131" t="s">
        <v>104</v>
      </c>
      <c r="AF22" s="132" t="s">
        <v>22</v>
      </c>
      <c r="AG22" s="133">
        <v>44803</v>
      </c>
      <c r="AH22" s="134" t="s">
        <v>104</v>
      </c>
      <c r="AI22" s="135" t="s">
        <v>104</v>
      </c>
      <c r="AJ22" s="136" t="s">
        <v>104</v>
      </c>
      <c r="AK22" s="137" t="s">
        <v>22</v>
      </c>
      <c r="AL22" s="120">
        <f t="shared" si="6"/>
        <v>452</v>
      </c>
      <c r="AM22" s="138" t="s">
        <v>104</v>
      </c>
    </row>
    <row r="23" spans="1:39" ht="39.950000000000003" customHeight="1" x14ac:dyDescent="0.25">
      <c r="A23" s="151">
        <f t="shared" si="0"/>
        <v>11</v>
      </c>
      <c r="B23" s="110">
        <f>'2DEMOGRAPHICS'!B23</f>
        <v>11</v>
      </c>
      <c r="C23" s="111" t="str">
        <f>'2DEMOGRAPHICS'!C23</f>
        <v>aaaaa11111aaaaa</v>
      </c>
      <c r="D23" s="112">
        <f>'2DEMOGRAPHICS'!D23</f>
        <v>44378</v>
      </c>
      <c r="E23" s="113">
        <f>'2DEMOGRAPHICS'!E23</f>
        <v>44379</v>
      </c>
      <c r="F23" s="138" t="s">
        <v>100</v>
      </c>
      <c r="G23" s="158">
        <f t="shared" si="1"/>
        <v>44409</v>
      </c>
      <c r="H23" s="129" t="s">
        <v>100</v>
      </c>
      <c r="I23" s="149" t="s">
        <v>100</v>
      </c>
      <c r="J23" s="131" t="s">
        <v>100</v>
      </c>
      <c r="K23" s="150" t="s">
        <v>22</v>
      </c>
      <c r="L23" s="156">
        <f t="shared" si="2"/>
        <v>44439</v>
      </c>
      <c r="M23" s="146" t="s">
        <v>100</v>
      </c>
      <c r="N23" s="147" t="s">
        <v>100</v>
      </c>
      <c r="O23" s="154" t="s">
        <v>100</v>
      </c>
      <c r="P23" s="148" t="s">
        <v>22</v>
      </c>
      <c r="Q23" s="159">
        <f t="shared" si="3"/>
        <v>44469</v>
      </c>
      <c r="R23" s="143" t="s">
        <v>100</v>
      </c>
      <c r="S23" s="144" t="s">
        <v>100</v>
      </c>
      <c r="T23" s="153" t="s">
        <v>100</v>
      </c>
      <c r="U23" s="145" t="s">
        <v>22</v>
      </c>
      <c r="V23" s="160">
        <f t="shared" si="4"/>
        <v>44562</v>
      </c>
      <c r="W23" s="139" t="s">
        <v>100</v>
      </c>
      <c r="X23" s="140" t="s">
        <v>100</v>
      </c>
      <c r="Y23" s="152" t="s">
        <v>100</v>
      </c>
      <c r="Z23" s="141" t="s">
        <v>22</v>
      </c>
      <c r="AA23" s="142" t="s">
        <v>100</v>
      </c>
      <c r="AB23" s="161">
        <f t="shared" si="5"/>
        <v>44744</v>
      </c>
      <c r="AC23" s="129" t="s">
        <v>100</v>
      </c>
      <c r="AD23" s="130" t="s">
        <v>100</v>
      </c>
      <c r="AE23" s="131" t="s">
        <v>100</v>
      </c>
      <c r="AF23" s="132" t="s">
        <v>22</v>
      </c>
      <c r="AG23" s="133">
        <v>44803</v>
      </c>
      <c r="AH23" s="134" t="s">
        <v>100</v>
      </c>
      <c r="AI23" s="135" t="s">
        <v>100</v>
      </c>
      <c r="AJ23" s="136" t="s">
        <v>100</v>
      </c>
      <c r="AK23" s="137" t="s">
        <v>22</v>
      </c>
      <c r="AL23" s="120">
        <f t="shared" si="6"/>
        <v>424</v>
      </c>
      <c r="AM23" s="138" t="s">
        <v>100</v>
      </c>
    </row>
    <row r="24" spans="1:39" ht="39.950000000000003" customHeight="1" x14ac:dyDescent="0.25">
      <c r="A24" s="151">
        <f t="shared" si="0"/>
        <v>12</v>
      </c>
      <c r="B24" s="110">
        <f>'2DEMOGRAPHICS'!B24</f>
        <v>12</v>
      </c>
      <c r="C24" s="111" t="str">
        <f>'2DEMOGRAPHICS'!C24</f>
        <v>aaaaa11111aaaaa</v>
      </c>
      <c r="D24" s="112">
        <f>'2DEMOGRAPHICS'!D24</f>
        <v>44409</v>
      </c>
      <c r="E24" s="113">
        <f>'2DEMOGRAPHICS'!E24</f>
        <v>44412</v>
      </c>
      <c r="F24" s="138" t="s">
        <v>104</v>
      </c>
      <c r="G24" s="158">
        <f t="shared" si="1"/>
        <v>44442</v>
      </c>
      <c r="H24" s="129" t="s">
        <v>104</v>
      </c>
      <c r="I24" s="149" t="s">
        <v>104</v>
      </c>
      <c r="J24" s="131" t="s">
        <v>104</v>
      </c>
      <c r="K24" s="150" t="s">
        <v>22</v>
      </c>
      <c r="L24" s="156">
        <f t="shared" si="2"/>
        <v>44472</v>
      </c>
      <c r="M24" s="146" t="s">
        <v>104</v>
      </c>
      <c r="N24" s="147" t="s">
        <v>104</v>
      </c>
      <c r="O24" s="154" t="s">
        <v>104</v>
      </c>
      <c r="P24" s="148" t="s">
        <v>22</v>
      </c>
      <c r="Q24" s="159">
        <f t="shared" si="3"/>
        <v>44502</v>
      </c>
      <c r="R24" s="143" t="s">
        <v>104</v>
      </c>
      <c r="S24" s="144" t="s">
        <v>104</v>
      </c>
      <c r="T24" s="153" t="s">
        <v>104</v>
      </c>
      <c r="U24" s="145" t="s">
        <v>22</v>
      </c>
      <c r="V24" s="160">
        <f t="shared" si="4"/>
        <v>44595</v>
      </c>
      <c r="W24" s="139" t="s">
        <v>104</v>
      </c>
      <c r="X24" s="140" t="s">
        <v>104</v>
      </c>
      <c r="Y24" s="152" t="s">
        <v>104</v>
      </c>
      <c r="Z24" s="141" t="s">
        <v>22</v>
      </c>
      <c r="AA24" s="142" t="s">
        <v>104</v>
      </c>
      <c r="AB24" s="161">
        <f t="shared" si="5"/>
        <v>44777</v>
      </c>
      <c r="AC24" s="129" t="s">
        <v>104</v>
      </c>
      <c r="AD24" s="130" t="s">
        <v>104</v>
      </c>
      <c r="AE24" s="131" t="s">
        <v>104</v>
      </c>
      <c r="AF24" s="132" t="s">
        <v>22</v>
      </c>
      <c r="AG24" s="133">
        <v>44803</v>
      </c>
      <c r="AH24" s="134" t="s">
        <v>104</v>
      </c>
      <c r="AI24" s="135" t="s">
        <v>104</v>
      </c>
      <c r="AJ24" s="136" t="s">
        <v>104</v>
      </c>
      <c r="AK24" s="137" t="s">
        <v>22</v>
      </c>
      <c r="AL24" s="120">
        <f t="shared" si="6"/>
        <v>391</v>
      </c>
      <c r="AM24" s="138" t="s">
        <v>104</v>
      </c>
    </row>
    <row r="25" spans="1:39" ht="39.950000000000003" customHeight="1" x14ac:dyDescent="0.25">
      <c r="A25" s="151">
        <f t="shared" si="0"/>
        <v>13</v>
      </c>
      <c r="B25" s="110">
        <f>'2DEMOGRAPHICS'!B25</f>
        <v>13</v>
      </c>
      <c r="C25" s="111" t="str">
        <f>'2DEMOGRAPHICS'!C25</f>
        <v>aaaaa11111aaaaa</v>
      </c>
      <c r="D25" s="112">
        <f>'2DEMOGRAPHICS'!D25</f>
        <v>44075</v>
      </c>
      <c r="E25" s="113">
        <f>'2DEMOGRAPHICS'!E25</f>
        <v>44077</v>
      </c>
      <c r="F25" s="138" t="s">
        <v>100</v>
      </c>
      <c r="G25" s="158">
        <f t="shared" si="1"/>
        <v>44107</v>
      </c>
      <c r="H25" s="129" t="s">
        <v>100</v>
      </c>
      <c r="I25" s="149" t="s">
        <v>100</v>
      </c>
      <c r="J25" s="131" t="s">
        <v>100</v>
      </c>
      <c r="K25" s="150" t="s">
        <v>22</v>
      </c>
      <c r="L25" s="156">
        <f t="shared" si="2"/>
        <v>44137</v>
      </c>
      <c r="M25" s="146" t="s">
        <v>100</v>
      </c>
      <c r="N25" s="147" t="s">
        <v>100</v>
      </c>
      <c r="O25" s="154" t="s">
        <v>100</v>
      </c>
      <c r="P25" s="148" t="s">
        <v>22</v>
      </c>
      <c r="Q25" s="159">
        <f t="shared" si="3"/>
        <v>44167</v>
      </c>
      <c r="R25" s="143" t="s">
        <v>100</v>
      </c>
      <c r="S25" s="144" t="s">
        <v>100</v>
      </c>
      <c r="T25" s="153" t="s">
        <v>100</v>
      </c>
      <c r="U25" s="145" t="s">
        <v>22</v>
      </c>
      <c r="V25" s="160">
        <f t="shared" si="4"/>
        <v>44260</v>
      </c>
      <c r="W25" s="139" t="s">
        <v>100</v>
      </c>
      <c r="X25" s="140" t="s">
        <v>100</v>
      </c>
      <c r="Y25" s="152" t="s">
        <v>100</v>
      </c>
      <c r="Z25" s="141" t="s">
        <v>22</v>
      </c>
      <c r="AA25" s="142" t="s">
        <v>100</v>
      </c>
      <c r="AB25" s="161">
        <f t="shared" si="5"/>
        <v>44442</v>
      </c>
      <c r="AC25" s="129" t="s">
        <v>100</v>
      </c>
      <c r="AD25" s="130" t="s">
        <v>100</v>
      </c>
      <c r="AE25" s="131" t="s">
        <v>100</v>
      </c>
      <c r="AF25" s="132" t="s">
        <v>22</v>
      </c>
      <c r="AG25" s="133">
        <v>44803</v>
      </c>
      <c r="AH25" s="134" t="s">
        <v>100</v>
      </c>
      <c r="AI25" s="135" t="s">
        <v>100</v>
      </c>
      <c r="AJ25" s="136" t="s">
        <v>100</v>
      </c>
      <c r="AK25" s="137" t="s">
        <v>22</v>
      </c>
      <c r="AL25" s="120">
        <f t="shared" si="6"/>
        <v>726</v>
      </c>
      <c r="AM25" s="138" t="s">
        <v>100</v>
      </c>
    </row>
    <row r="26" spans="1:39" ht="39.950000000000003" customHeight="1" x14ac:dyDescent="0.25">
      <c r="A26" s="151">
        <f t="shared" si="0"/>
        <v>14</v>
      </c>
      <c r="B26" s="110">
        <f>'2DEMOGRAPHICS'!B26</f>
        <v>14</v>
      </c>
      <c r="C26" s="111" t="str">
        <f>'2DEMOGRAPHICS'!C26</f>
        <v>aaaaa11111aaaaa</v>
      </c>
      <c r="D26" s="112">
        <f>'2DEMOGRAPHICS'!D26</f>
        <v>44105</v>
      </c>
      <c r="E26" s="113">
        <f>'2DEMOGRAPHICS'!E26</f>
        <v>44077</v>
      </c>
      <c r="F26" s="138" t="s">
        <v>104</v>
      </c>
      <c r="G26" s="158">
        <f t="shared" si="1"/>
        <v>44107</v>
      </c>
      <c r="H26" s="129" t="s">
        <v>104</v>
      </c>
      <c r="I26" s="149" t="s">
        <v>104</v>
      </c>
      <c r="J26" s="131" t="s">
        <v>104</v>
      </c>
      <c r="K26" s="150" t="s">
        <v>22</v>
      </c>
      <c r="L26" s="156">
        <f t="shared" si="2"/>
        <v>44137</v>
      </c>
      <c r="M26" s="146" t="s">
        <v>104</v>
      </c>
      <c r="N26" s="147" t="s">
        <v>104</v>
      </c>
      <c r="O26" s="154" t="s">
        <v>104</v>
      </c>
      <c r="P26" s="148" t="s">
        <v>22</v>
      </c>
      <c r="Q26" s="159">
        <f t="shared" si="3"/>
        <v>44167</v>
      </c>
      <c r="R26" s="143" t="s">
        <v>104</v>
      </c>
      <c r="S26" s="144" t="s">
        <v>104</v>
      </c>
      <c r="T26" s="153" t="s">
        <v>104</v>
      </c>
      <c r="U26" s="145" t="s">
        <v>22</v>
      </c>
      <c r="V26" s="160">
        <f t="shared" si="4"/>
        <v>44260</v>
      </c>
      <c r="W26" s="139" t="s">
        <v>104</v>
      </c>
      <c r="X26" s="140" t="s">
        <v>104</v>
      </c>
      <c r="Y26" s="152" t="s">
        <v>104</v>
      </c>
      <c r="Z26" s="141" t="s">
        <v>22</v>
      </c>
      <c r="AA26" s="142" t="s">
        <v>104</v>
      </c>
      <c r="AB26" s="161">
        <f t="shared" si="5"/>
        <v>44442</v>
      </c>
      <c r="AC26" s="129" t="s">
        <v>104</v>
      </c>
      <c r="AD26" s="130" t="s">
        <v>104</v>
      </c>
      <c r="AE26" s="131" t="s">
        <v>104</v>
      </c>
      <c r="AF26" s="132" t="s">
        <v>22</v>
      </c>
      <c r="AG26" s="133">
        <v>44803</v>
      </c>
      <c r="AH26" s="134" t="s">
        <v>104</v>
      </c>
      <c r="AI26" s="135" t="s">
        <v>104</v>
      </c>
      <c r="AJ26" s="136" t="s">
        <v>104</v>
      </c>
      <c r="AK26" s="137" t="s">
        <v>22</v>
      </c>
      <c r="AL26" s="120">
        <f t="shared" si="6"/>
        <v>726</v>
      </c>
      <c r="AM26" s="138" t="s">
        <v>104</v>
      </c>
    </row>
    <row r="27" spans="1:39" ht="39.950000000000003" customHeight="1" x14ac:dyDescent="0.25">
      <c r="A27" s="151">
        <f t="shared" si="0"/>
        <v>15</v>
      </c>
      <c r="B27" s="110">
        <f>'2DEMOGRAPHICS'!B27</f>
        <v>15</v>
      </c>
      <c r="C27" s="111" t="str">
        <f>'2DEMOGRAPHICS'!C27</f>
        <v>aaaaa11111aaaaa</v>
      </c>
      <c r="D27" s="112">
        <f>'2DEMOGRAPHICS'!D27</f>
        <v>44136</v>
      </c>
      <c r="E27" s="113">
        <f>'2DEMOGRAPHICS'!E27</f>
        <v>44137</v>
      </c>
      <c r="F27" s="138" t="s">
        <v>100</v>
      </c>
      <c r="G27" s="158">
        <f t="shared" si="1"/>
        <v>44167</v>
      </c>
      <c r="H27" s="129" t="s">
        <v>100</v>
      </c>
      <c r="I27" s="149" t="s">
        <v>100</v>
      </c>
      <c r="J27" s="131" t="s">
        <v>100</v>
      </c>
      <c r="K27" s="150" t="s">
        <v>22</v>
      </c>
      <c r="L27" s="156">
        <f t="shared" si="2"/>
        <v>44197</v>
      </c>
      <c r="M27" s="146" t="s">
        <v>100</v>
      </c>
      <c r="N27" s="147" t="s">
        <v>100</v>
      </c>
      <c r="O27" s="154" t="s">
        <v>100</v>
      </c>
      <c r="P27" s="148" t="s">
        <v>22</v>
      </c>
      <c r="Q27" s="159">
        <f t="shared" si="3"/>
        <v>44227</v>
      </c>
      <c r="R27" s="143" t="s">
        <v>100</v>
      </c>
      <c r="S27" s="144" t="s">
        <v>100</v>
      </c>
      <c r="T27" s="153" t="s">
        <v>100</v>
      </c>
      <c r="U27" s="145" t="s">
        <v>22</v>
      </c>
      <c r="V27" s="160">
        <f t="shared" si="4"/>
        <v>44320</v>
      </c>
      <c r="W27" s="139" t="s">
        <v>100</v>
      </c>
      <c r="X27" s="140" t="s">
        <v>100</v>
      </c>
      <c r="Y27" s="152" t="s">
        <v>100</v>
      </c>
      <c r="Z27" s="141" t="s">
        <v>22</v>
      </c>
      <c r="AA27" s="142" t="s">
        <v>100</v>
      </c>
      <c r="AB27" s="161">
        <f t="shared" si="5"/>
        <v>44502</v>
      </c>
      <c r="AC27" s="129" t="s">
        <v>100</v>
      </c>
      <c r="AD27" s="130" t="s">
        <v>100</v>
      </c>
      <c r="AE27" s="131" t="s">
        <v>100</v>
      </c>
      <c r="AF27" s="132" t="s">
        <v>22</v>
      </c>
      <c r="AG27" s="133">
        <v>44803</v>
      </c>
      <c r="AH27" s="134" t="s">
        <v>100</v>
      </c>
      <c r="AI27" s="135" t="s">
        <v>100</v>
      </c>
      <c r="AJ27" s="136" t="s">
        <v>100</v>
      </c>
      <c r="AK27" s="137" t="s">
        <v>22</v>
      </c>
      <c r="AL27" s="120">
        <f t="shared" si="6"/>
        <v>666</v>
      </c>
      <c r="AM27" s="138" t="s">
        <v>100</v>
      </c>
    </row>
    <row r="28" spans="1:39" ht="39.950000000000003" customHeight="1" x14ac:dyDescent="0.25">
      <c r="A28" s="151">
        <f t="shared" si="0"/>
        <v>16</v>
      </c>
      <c r="B28" s="110">
        <f>'2DEMOGRAPHICS'!B28</f>
        <v>16</v>
      </c>
      <c r="C28" s="111" t="str">
        <f>'2DEMOGRAPHICS'!C28</f>
        <v>aaaaa11111aaaaa</v>
      </c>
      <c r="D28" s="112">
        <f>'2DEMOGRAPHICS'!D28</f>
        <v>44166</v>
      </c>
      <c r="E28" s="113">
        <f>'2DEMOGRAPHICS'!E28</f>
        <v>44170</v>
      </c>
      <c r="F28" s="138" t="s">
        <v>104</v>
      </c>
      <c r="G28" s="158">
        <f t="shared" si="1"/>
        <v>44200</v>
      </c>
      <c r="H28" s="129" t="s">
        <v>104</v>
      </c>
      <c r="I28" s="149" t="s">
        <v>104</v>
      </c>
      <c r="J28" s="131" t="s">
        <v>104</v>
      </c>
      <c r="K28" s="150" t="s">
        <v>22</v>
      </c>
      <c r="L28" s="156">
        <f t="shared" si="2"/>
        <v>44230</v>
      </c>
      <c r="M28" s="146" t="s">
        <v>104</v>
      </c>
      <c r="N28" s="147" t="s">
        <v>104</v>
      </c>
      <c r="O28" s="154" t="s">
        <v>104</v>
      </c>
      <c r="P28" s="148" t="s">
        <v>22</v>
      </c>
      <c r="Q28" s="159">
        <f t="shared" si="3"/>
        <v>44260</v>
      </c>
      <c r="R28" s="143" t="s">
        <v>104</v>
      </c>
      <c r="S28" s="144" t="s">
        <v>104</v>
      </c>
      <c r="T28" s="153" t="s">
        <v>104</v>
      </c>
      <c r="U28" s="145" t="s">
        <v>22</v>
      </c>
      <c r="V28" s="160">
        <f t="shared" si="4"/>
        <v>44353</v>
      </c>
      <c r="W28" s="139" t="s">
        <v>104</v>
      </c>
      <c r="X28" s="140" t="s">
        <v>104</v>
      </c>
      <c r="Y28" s="152" t="s">
        <v>104</v>
      </c>
      <c r="Z28" s="141" t="s">
        <v>22</v>
      </c>
      <c r="AA28" s="142" t="s">
        <v>104</v>
      </c>
      <c r="AB28" s="161">
        <f t="shared" si="5"/>
        <v>44535</v>
      </c>
      <c r="AC28" s="129" t="s">
        <v>104</v>
      </c>
      <c r="AD28" s="130" t="s">
        <v>104</v>
      </c>
      <c r="AE28" s="131" t="s">
        <v>104</v>
      </c>
      <c r="AF28" s="132" t="s">
        <v>22</v>
      </c>
      <c r="AG28" s="133">
        <v>44803</v>
      </c>
      <c r="AH28" s="134" t="s">
        <v>104</v>
      </c>
      <c r="AI28" s="135" t="s">
        <v>104</v>
      </c>
      <c r="AJ28" s="136" t="s">
        <v>104</v>
      </c>
      <c r="AK28" s="137" t="s">
        <v>22</v>
      </c>
      <c r="AL28" s="120">
        <f t="shared" si="6"/>
        <v>633</v>
      </c>
      <c r="AM28" s="138" t="s">
        <v>104</v>
      </c>
    </row>
    <row r="29" spans="1:39" ht="39.950000000000003" customHeight="1" x14ac:dyDescent="0.25">
      <c r="A29" s="151">
        <f t="shared" si="0"/>
        <v>17</v>
      </c>
      <c r="B29" s="110">
        <f>'2DEMOGRAPHICS'!B29</f>
        <v>17</v>
      </c>
      <c r="C29" s="111" t="str">
        <f>'2DEMOGRAPHICS'!C29</f>
        <v>aaaaa11111aaaaa</v>
      </c>
      <c r="D29" s="112">
        <f>'2DEMOGRAPHICS'!D29</f>
        <v>44197</v>
      </c>
      <c r="E29" s="113">
        <f>'2DEMOGRAPHICS'!E29</f>
        <v>44201</v>
      </c>
      <c r="F29" s="138" t="s">
        <v>100</v>
      </c>
      <c r="G29" s="158">
        <f t="shared" si="1"/>
        <v>44231</v>
      </c>
      <c r="H29" s="129" t="s">
        <v>100</v>
      </c>
      <c r="I29" s="149" t="s">
        <v>100</v>
      </c>
      <c r="J29" s="131" t="s">
        <v>100</v>
      </c>
      <c r="K29" s="150" t="s">
        <v>22</v>
      </c>
      <c r="L29" s="156">
        <f t="shared" si="2"/>
        <v>44261</v>
      </c>
      <c r="M29" s="146" t="s">
        <v>100</v>
      </c>
      <c r="N29" s="147" t="s">
        <v>100</v>
      </c>
      <c r="O29" s="154" t="s">
        <v>100</v>
      </c>
      <c r="P29" s="148" t="s">
        <v>22</v>
      </c>
      <c r="Q29" s="159">
        <f t="shared" si="3"/>
        <v>44291</v>
      </c>
      <c r="R29" s="143" t="s">
        <v>100</v>
      </c>
      <c r="S29" s="144" t="s">
        <v>100</v>
      </c>
      <c r="T29" s="153" t="s">
        <v>100</v>
      </c>
      <c r="U29" s="145" t="s">
        <v>22</v>
      </c>
      <c r="V29" s="160">
        <f t="shared" si="4"/>
        <v>44384</v>
      </c>
      <c r="W29" s="139" t="s">
        <v>100</v>
      </c>
      <c r="X29" s="140" t="s">
        <v>100</v>
      </c>
      <c r="Y29" s="152" t="s">
        <v>100</v>
      </c>
      <c r="Z29" s="141" t="s">
        <v>22</v>
      </c>
      <c r="AA29" s="142" t="s">
        <v>100</v>
      </c>
      <c r="AB29" s="161">
        <f t="shared" si="5"/>
        <v>44566</v>
      </c>
      <c r="AC29" s="129" t="s">
        <v>100</v>
      </c>
      <c r="AD29" s="130" t="s">
        <v>100</v>
      </c>
      <c r="AE29" s="131" t="s">
        <v>100</v>
      </c>
      <c r="AF29" s="132" t="s">
        <v>22</v>
      </c>
      <c r="AG29" s="133">
        <v>44803</v>
      </c>
      <c r="AH29" s="134" t="s">
        <v>100</v>
      </c>
      <c r="AI29" s="135" t="s">
        <v>100</v>
      </c>
      <c r="AJ29" s="136" t="s">
        <v>100</v>
      </c>
      <c r="AK29" s="137" t="s">
        <v>22</v>
      </c>
      <c r="AL29" s="120">
        <f t="shared" si="6"/>
        <v>602</v>
      </c>
      <c r="AM29" s="138" t="s">
        <v>100</v>
      </c>
    </row>
    <row r="30" spans="1:39" ht="39.950000000000003" customHeight="1" x14ac:dyDescent="0.25">
      <c r="A30" s="151">
        <f t="shared" si="0"/>
        <v>18</v>
      </c>
      <c r="B30" s="110">
        <f>'2DEMOGRAPHICS'!B30</f>
        <v>18</v>
      </c>
      <c r="C30" s="111" t="str">
        <f>'2DEMOGRAPHICS'!C30</f>
        <v>aaaaa11111aaaaa</v>
      </c>
      <c r="D30" s="112">
        <f>'2DEMOGRAPHICS'!D30</f>
        <v>44228</v>
      </c>
      <c r="E30" s="113">
        <f>'2DEMOGRAPHICS'!E30</f>
        <v>44230</v>
      </c>
      <c r="F30" s="138" t="s">
        <v>104</v>
      </c>
      <c r="G30" s="158">
        <f t="shared" si="1"/>
        <v>44260</v>
      </c>
      <c r="H30" s="129" t="s">
        <v>104</v>
      </c>
      <c r="I30" s="149" t="s">
        <v>104</v>
      </c>
      <c r="J30" s="131" t="s">
        <v>104</v>
      </c>
      <c r="K30" s="150" t="s">
        <v>22</v>
      </c>
      <c r="L30" s="156">
        <f t="shared" si="2"/>
        <v>44290</v>
      </c>
      <c r="M30" s="146" t="s">
        <v>104</v>
      </c>
      <c r="N30" s="147" t="s">
        <v>104</v>
      </c>
      <c r="O30" s="154" t="s">
        <v>104</v>
      </c>
      <c r="P30" s="148" t="s">
        <v>22</v>
      </c>
      <c r="Q30" s="159">
        <f t="shared" si="3"/>
        <v>44320</v>
      </c>
      <c r="R30" s="143" t="s">
        <v>104</v>
      </c>
      <c r="S30" s="144" t="s">
        <v>104</v>
      </c>
      <c r="T30" s="153" t="s">
        <v>104</v>
      </c>
      <c r="U30" s="145" t="s">
        <v>22</v>
      </c>
      <c r="V30" s="160">
        <f t="shared" si="4"/>
        <v>44413</v>
      </c>
      <c r="W30" s="139" t="s">
        <v>104</v>
      </c>
      <c r="X30" s="140" t="s">
        <v>104</v>
      </c>
      <c r="Y30" s="152" t="s">
        <v>104</v>
      </c>
      <c r="Z30" s="141" t="s">
        <v>22</v>
      </c>
      <c r="AA30" s="142" t="s">
        <v>104</v>
      </c>
      <c r="AB30" s="161">
        <f t="shared" si="5"/>
        <v>44595</v>
      </c>
      <c r="AC30" s="129" t="s">
        <v>104</v>
      </c>
      <c r="AD30" s="130" t="s">
        <v>104</v>
      </c>
      <c r="AE30" s="131" t="s">
        <v>104</v>
      </c>
      <c r="AF30" s="132" t="s">
        <v>22</v>
      </c>
      <c r="AG30" s="133">
        <v>44803</v>
      </c>
      <c r="AH30" s="134" t="s">
        <v>104</v>
      </c>
      <c r="AI30" s="135" t="s">
        <v>104</v>
      </c>
      <c r="AJ30" s="136" t="s">
        <v>104</v>
      </c>
      <c r="AK30" s="137" t="s">
        <v>22</v>
      </c>
      <c r="AL30" s="120">
        <f t="shared" si="6"/>
        <v>573</v>
      </c>
      <c r="AM30" s="138" t="s">
        <v>104</v>
      </c>
    </row>
    <row r="31" spans="1:39" ht="39.950000000000003" customHeight="1" x14ac:dyDescent="0.25">
      <c r="A31" s="151">
        <f t="shared" si="0"/>
        <v>19</v>
      </c>
      <c r="B31" s="110">
        <f>'2DEMOGRAPHICS'!B31</f>
        <v>19</v>
      </c>
      <c r="C31" s="111" t="str">
        <f>'2DEMOGRAPHICS'!C31</f>
        <v>aaaaa11111aaaaa</v>
      </c>
      <c r="D31" s="112">
        <f>'2DEMOGRAPHICS'!D31</f>
        <v>44256</v>
      </c>
      <c r="E31" s="113">
        <f>'2DEMOGRAPHICS'!E31</f>
        <v>44259</v>
      </c>
      <c r="F31" s="138" t="s">
        <v>100</v>
      </c>
      <c r="G31" s="158">
        <f t="shared" si="1"/>
        <v>44289</v>
      </c>
      <c r="H31" s="129" t="s">
        <v>100</v>
      </c>
      <c r="I31" s="149" t="s">
        <v>100</v>
      </c>
      <c r="J31" s="131" t="s">
        <v>100</v>
      </c>
      <c r="K31" s="150" t="s">
        <v>22</v>
      </c>
      <c r="L31" s="156">
        <f t="shared" si="2"/>
        <v>44319</v>
      </c>
      <c r="M31" s="146" t="s">
        <v>100</v>
      </c>
      <c r="N31" s="147" t="s">
        <v>100</v>
      </c>
      <c r="O31" s="154" t="s">
        <v>100</v>
      </c>
      <c r="P31" s="148" t="s">
        <v>22</v>
      </c>
      <c r="Q31" s="159">
        <f t="shared" si="3"/>
        <v>44349</v>
      </c>
      <c r="R31" s="143" t="s">
        <v>100</v>
      </c>
      <c r="S31" s="144" t="s">
        <v>100</v>
      </c>
      <c r="T31" s="153" t="s">
        <v>100</v>
      </c>
      <c r="U31" s="145" t="s">
        <v>22</v>
      </c>
      <c r="V31" s="160">
        <f t="shared" si="4"/>
        <v>44442</v>
      </c>
      <c r="W31" s="139" t="s">
        <v>100</v>
      </c>
      <c r="X31" s="140" t="s">
        <v>100</v>
      </c>
      <c r="Y31" s="152" t="s">
        <v>100</v>
      </c>
      <c r="Z31" s="141" t="s">
        <v>22</v>
      </c>
      <c r="AA31" s="142" t="s">
        <v>100</v>
      </c>
      <c r="AB31" s="161">
        <f t="shared" si="5"/>
        <v>44624</v>
      </c>
      <c r="AC31" s="129" t="s">
        <v>100</v>
      </c>
      <c r="AD31" s="130" t="s">
        <v>100</v>
      </c>
      <c r="AE31" s="131" t="s">
        <v>100</v>
      </c>
      <c r="AF31" s="132" t="s">
        <v>22</v>
      </c>
      <c r="AG31" s="133">
        <v>44803</v>
      </c>
      <c r="AH31" s="134" t="s">
        <v>100</v>
      </c>
      <c r="AI31" s="135" t="s">
        <v>100</v>
      </c>
      <c r="AJ31" s="136" t="s">
        <v>100</v>
      </c>
      <c r="AK31" s="137" t="s">
        <v>22</v>
      </c>
      <c r="AL31" s="120">
        <f t="shared" si="6"/>
        <v>544</v>
      </c>
      <c r="AM31" s="138" t="s">
        <v>100</v>
      </c>
    </row>
    <row r="32" spans="1:39" ht="39.950000000000003" customHeight="1" x14ac:dyDescent="0.25">
      <c r="A32" s="151">
        <f t="shared" si="0"/>
        <v>20</v>
      </c>
      <c r="B32" s="110">
        <f>'2DEMOGRAPHICS'!B32</f>
        <v>20</v>
      </c>
      <c r="C32" s="111" t="str">
        <f>'2DEMOGRAPHICS'!C32</f>
        <v>aaaaa11111aaaaa</v>
      </c>
      <c r="D32" s="112">
        <f>'2DEMOGRAPHICS'!D32</f>
        <v>44287</v>
      </c>
      <c r="E32" s="113">
        <f>'2DEMOGRAPHICS'!E32</f>
        <v>44291</v>
      </c>
      <c r="F32" s="138" t="s">
        <v>104</v>
      </c>
      <c r="G32" s="158">
        <f t="shared" si="1"/>
        <v>44321</v>
      </c>
      <c r="H32" s="129" t="s">
        <v>104</v>
      </c>
      <c r="I32" s="149" t="s">
        <v>104</v>
      </c>
      <c r="J32" s="131" t="s">
        <v>104</v>
      </c>
      <c r="K32" s="150" t="s">
        <v>22</v>
      </c>
      <c r="L32" s="156">
        <f t="shared" si="2"/>
        <v>44351</v>
      </c>
      <c r="M32" s="146" t="s">
        <v>104</v>
      </c>
      <c r="N32" s="147" t="s">
        <v>104</v>
      </c>
      <c r="O32" s="154" t="s">
        <v>104</v>
      </c>
      <c r="P32" s="148" t="s">
        <v>22</v>
      </c>
      <c r="Q32" s="159">
        <f t="shared" si="3"/>
        <v>44381</v>
      </c>
      <c r="R32" s="143" t="s">
        <v>104</v>
      </c>
      <c r="S32" s="144" t="s">
        <v>104</v>
      </c>
      <c r="T32" s="153" t="s">
        <v>104</v>
      </c>
      <c r="U32" s="145" t="s">
        <v>22</v>
      </c>
      <c r="V32" s="160">
        <f t="shared" si="4"/>
        <v>44474</v>
      </c>
      <c r="W32" s="139" t="s">
        <v>104</v>
      </c>
      <c r="X32" s="140" t="s">
        <v>104</v>
      </c>
      <c r="Y32" s="152" t="s">
        <v>104</v>
      </c>
      <c r="Z32" s="141" t="s">
        <v>22</v>
      </c>
      <c r="AA32" s="142" t="s">
        <v>104</v>
      </c>
      <c r="AB32" s="161">
        <f t="shared" si="5"/>
        <v>44656</v>
      </c>
      <c r="AC32" s="129" t="s">
        <v>104</v>
      </c>
      <c r="AD32" s="130" t="s">
        <v>104</v>
      </c>
      <c r="AE32" s="131" t="s">
        <v>104</v>
      </c>
      <c r="AF32" s="132" t="s">
        <v>22</v>
      </c>
      <c r="AG32" s="133">
        <v>44803</v>
      </c>
      <c r="AH32" s="134" t="s">
        <v>104</v>
      </c>
      <c r="AI32" s="135" t="s">
        <v>104</v>
      </c>
      <c r="AJ32" s="136" t="s">
        <v>104</v>
      </c>
      <c r="AK32" s="137" t="s">
        <v>22</v>
      </c>
      <c r="AL32" s="120">
        <f t="shared" si="6"/>
        <v>512</v>
      </c>
      <c r="AM32" s="138" t="s">
        <v>104</v>
      </c>
    </row>
    <row r="33" spans="1:39" ht="39.950000000000003" customHeight="1" x14ac:dyDescent="0.25">
      <c r="A33" s="151">
        <f t="shared" si="0"/>
        <v>21</v>
      </c>
      <c r="B33" s="110">
        <f>'2DEMOGRAPHICS'!B33</f>
        <v>21</v>
      </c>
      <c r="C33" s="111" t="str">
        <f>'2DEMOGRAPHICS'!C33</f>
        <v>aaaaa11111aaaaa</v>
      </c>
      <c r="D33" s="112">
        <f>'2DEMOGRAPHICS'!D33</f>
        <v>44317</v>
      </c>
      <c r="E33" s="113">
        <f>'2DEMOGRAPHICS'!E33</f>
        <v>44319</v>
      </c>
      <c r="F33" s="138" t="s">
        <v>100</v>
      </c>
      <c r="G33" s="158">
        <f t="shared" si="1"/>
        <v>44349</v>
      </c>
      <c r="H33" s="129" t="s">
        <v>100</v>
      </c>
      <c r="I33" s="149" t="s">
        <v>100</v>
      </c>
      <c r="J33" s="131" t="s">
        <v>100</v>
      </c>
      <c r="K33" s="150" t="s">
        <v>22</v>
      </c>
      <c r="L33" s="156">
        <f t="shared" si="2"/>
        <v>44379</v>
      </c>
      <c r="M33" s="146" t="s">
        <v>100</v>
      </c>
      <c r="N33" s="147" t="s">
        <v>100</v>
      </c>
      <c r="O33" s="154" t="s">
        <v>100</v>
      </c>
      <c r="P33" s="148" t="s">
        <v>22</v>
      </c>
      <c r="Q33" s="159">
        <f t="shared" si="3"/>
        <v>44409</v>
      </c>
      <c r="R33" s="143" t="s">
        <v>100</v>
      </c>
      <c r="S33" s="144" t="s">
        <v>100</v>
      </c>
      <c r="T33" s="153" t="s">
        <v>100</v>
      </c>
      <c r="U33" s="145" t="s">
        <v>22</v>
      </c>
      <c r="V33" s="160">
        <f t="shared" si="4"/>
        <v>44502</v>
      </c>
      <c r="W33" s="139" t="s">
        <v>100</v>
      </c>
      <c r="X33" s="140" t="s">
        <v>100</v>
      </c>
      <c r="Y33" s="152" t="s">
        <v>100</v>
      </c>
      <c r="Z33" s="141" t="s">
        <v>22</v>
      </c>
      <c r="AA33" s="142" t="s">
        <v>100</v>
      </c>
      <c r="AB33" s="161">
        <f t="shared" si="5"/>
        <v>44684</v>
      </c>
      <c r="AC33" s="129" t="s">
        <v>100</v>
      </c>
      <c r="AD33" s="130" t="s">
        <v>100</v>
      </c>
      <c r="AE33" s="131" t="s">
        <v>100</v>
      </c>
      <c r="AF33" s="132" t="s">
        <v>22</v>
      </c>
      <c r="AG33" s="133">
        <v>44803</v>
      </c>
      <c r="AH33" s="134" t="s">
        <v>100</v>
      </c>
      <c r="AI33" s="135" t="s">
        <v>100</v>
      </c>
      <c r="AJ33" s="136" t="s">
        <v>100</v>
      </c>
      <c r="AK33" s="137" t="s">
        <v>22</v>
      </c>
      <c r="AL33" s="120">
        <f t="shared" si="6"/>
        <v>484</v>
      </c>
      <c r="AM33" s="138" t="s">
        <v>100</v>
      </c>
    </row>
    <row r="34" spans="1:39" ht="39.950000000000003" customHeight="1" x14ac:dyDescent="0.25">
      <c r="A34" s="151">
        <f t="shared" si="0"/>
        <v>22</v>
      </c>
      <c r="B34" s="110">
        <f>'2DEMOGRAPHICS'!B34</f>
        <v>22</v>
      </c>
      <c r="C34" s="111" t="str">
        <f>'2DEMOGRAPHICS'!C34</f>
        <v>aaaaa11111aaaaa</v>
      </c>
      <c r="D34" s="112">
        <f>'2DEMOGRAPHICS'!D34</f>
        <v>44348</v>
      </c>
      <c r="E34" s="113">
        <f>'2DEMOGRAPHICS'!E34</f>
        <v>44351</v>
      </c>
      <c r="F34" s="138" t="s">
        <v>104</v>
      </c>
      <c r="G34" s="158">
        <f t="shared" si="1"/>
        <v>44381</v>
      </c>
      <c r="H34" s="129" t="s">
        <v>104</v>
      </c>
      <c r="I34" s="149" t="s">
        <v>104</v>
      </c>
      <c r="J34" s="131" t="s">
        <v>104</v>
      </c>
      <c r="K34" s="150" t="s">
        <v>22</v>
      </c>
      <c r="L34" s="156">
        <f t="shared" si="2"/>
        <v>44411</v>
      </c>
      <c r="M34" s="146" t="s">
        <v>104</v>
      </c>
      <c r="N34" s="147" t="s">
        <v>104</v>
      </c>
      <c r="O34" s="154" t="s">
        <v>104</v>
      </c>
      <c r="P34" s="148" t="s">
        <v>22</v>
      </c>
      <c r="Q34" s="159">
        <f t="shared" si="3"/>
        <v>44441</v>
      </c>
      <c r="R34" s="143" t="s">
        <v>104</v>
      </c>
      <c r="S34" s="144" t="s">
        <v>104</v>
      </c>
      <c r="T34" s="153" t="s">
        <v>104</v>
      </c>
      <c r="U34" s="145" t="s">
        <v>22</v>
      </c>
      <c r="V34" s="160">
        <f t="shared" si="4"/>
        <v>44534</v>
      </c>
      <c r="W34" s="139" t="s">
        <v>104</v>
      </c>
      <c r="X34" s="140" t="s">
        <v>104</v>
      </c>
      <c r="Y34" s="152" t="s">
        <v>104</v>
      </c>
      <c r="Z34" s="141" t="s">
        <v>22</v>
      </c>
      <c r="AA34" s="142" t="s">
        <v>104</v>
      </c>
      <c r="AB34" s="161">
        <f t="shared" si="5"/>
        <v>44716</v>
      </c>
      <c r="AC34" s="129" t="s">
        <v>104</v>
      </c>
      <c r="AD34" s="130" t="s">
        <v>104</v>
      </c>
      <c r="AE34" s="131" t="s">
        <v>104</v>
      </c>
      <c r="AF34" s="132" t="s">
        <v>22</v>
      </c>
      <c r="AG34" s="133">
        <v>44803</v>
      </c>
      <c r="AH34" s="134" t="s">
        <v>104</v>
      </c>
      <c r="AI34" s="135" t="s">
        <v>104</v>
      </c>
      <c r="AJ34" s="136" t="s">
        <v>104</v>
      </c>
      <c r="AK34" s="137" t="s">
        <v>22</v>
      </c>
      <c r="AL34" s="120">
        <f t="shared" si="6"/>
        <v>452</v>
      </c>
      <c r="AM34" s="138" t="s">
        <v>104</v>
      </c>
    </row>
    <row r="35" spans="1:39" ht="39.950000000000003" customHeight="1" x14ac:dyDescent="0.25">
      <c r="A35" s="151">
        <f t="shared" si="0"/>
        <v>23</v>
      </c>
      <c r="B35" s="110">
        <f>'2DEMOGRAPHICS'!B35</f>
        <v>23</v>
      </c>
      <c r="C35" s="111" t="str">
        <f>'2DEMOGRAPHICS'!C35</f>
        <v>aaaaa11111aaaaa</v>
      </c>
      <c r="D35" s="112">
        <f>'2DEMOGRAPHICS'!D35</f>
        <v>44378</v>
      </c>
      <c r="E35" s="113">
        <f>'2DEMOGRAPHICS'!E35</f>
        <v>44379</v>
      </c>
      <c r="F35" s="138" t="s">
        <v>100</v>
      </c>
      <c r="G35" s="158">
        <f t="shared" si="1"/>
        <v>44409</v>
      </c>
      <c r="H35" s="129" t="s">
        <v>100</v>
      </c>
      <c r="I35" s="149" t="s">
        <v>100</v>
      </c>
      <c r="J35" s="131" t="s">
        <v>100</v>
      </c>
      <c r="K35" s="150" t="s">
        <v>22</v>
      </c>
      <c r="L35" s="156">
        <f t="shared" si="2"/>
        <v>44439</v>
      </c>
      <c r="M35" s="146" t="s">
        <v>100</v>
      </c>
      <c r="N35" s="147" t="s">
        <v>100</v>
      </c>
      <c r="O35" s="154" t="s">
        <v>100</v>
      </c>
      <c r="P35" s="148" t="s">
        <v>22</v>
      </c>
      <c r="Q35" s="159">
        <f t="shared" si="3"/>
        <v>44469</v>
      </c>
      <c r="R35" s="143" t="s">
        <v>100</v>
      </c>
      <c r="S35" s="144" t="s">
        <v>100</v>
      </c>
      <c r="T35" s="153" t="s">
        <v>100</v>
      </c>
      <c r="U35" s="145" t="s">
        <v>22</v>
      </c>
      <c r="V35" s="160">
        <f t="shared" si="4"/>
        <v>44562</v>
      </c>
      <c r="W35" s="139" t="s">
        <v>100</v>
      </c>
      <c r="X35" s="140" t="s">
        <v>100</v>
      </c>
      <c r="Y35" s="152" t="s">
        <v>100</v>
      </c>
      <c r="Z35" s="141" t="s">
        <v>22</v>
      </c>
      <c r="AA35" s="142" t="s">
        <v>100</v>
      </c>
      <c r="AB35" s="161">
        <f t="shared" si="5"/>
        <v>44744</v>
      </c>
      <c r="AC35" s="129" t="s">
        <v>100</v>
      </c>
      <c r="AD35" s="130" t="s">
        <v>100</v>
      </c>
      <c r="AE35" s="131" t="s">
        <v>100</v>
      </c>
      <c r="AF35" s="132" t="s">
        <v>22</v>
      </c>
      <c r="AG35" s="133">
        <v>44803</v>
      </c>
      <c r="AH35" s="134" t="s">
        <v>100</v>
      </c>
      <c r="AI35" s="135" t="s">
        <v>100</v>
      </c>
      <c r="AJ35" s="136" t="s">
        <v>100</v>
      </c>
      <c r="AK35" s="137" t="s">
        <v>22</v>
      </c>
      <c r="AL35" s="120">
        <f t="shared" si="6"/>
        <v>424</v>
      </c>
      <c r="AM35" s="138" t="s">
        <v>100</v>
      </c>
    </row>
    <row r="36" spans="1:39" ht="39.950000000000003" customHeight="1" x14ac:dyDescent="0.25">
      <c r="A36" s="151">
        <f t="shared" si="0"/>
        <v>24</v>
      </c>
      <c r="B36" s="110">
        <f>'2DEMOGRAPHICS'!B36</f>
        <v>24</v>
      </c>
      <c r="C36" s="111" t="str">
        <f>'2DEMOGRAPHICS'!C36</f>
        <v>aaaaa11111aaaaa</v>
      </c>
      <c r="D36" s="112">
        <f>'2DEMOGRAPHICS'!D36</f>
        <v>44409</v>
      </c>
      <c r="E36" s="113">
        <f>'2DEMOGRAPHICS'!E36</f>
        <v>44412</v>
      </c>
      <c r="F36" s="138" t="s">
        <v>104</v>
      </c>
      <c r="G36" s="158">
        <f t="shared" si="1"/>
        <v>44442</v>
      </c>
      <c r="H36" s="129" t="s">
        <v>104</v>
      </c>
      <c r="I36" s="149" t="s">
        <v>104</v>
      </c>
      <c r="J36" s="131" t="s">
        <v>104</v>
      </c>
      <c r="K36" s="150" t="s">
        <v>22</v>
      </c>
      <c r="L36" s="156">
        <f t="shared" si="2"/>
        <v>44472</v>
      </c>
      <c r="M36" s="146" t="s">
        <v>104</v>
      </c>
      <c r="N36" s="147" t="s">
        <v>104</v>
      </c>
      <c r="O36" s="154" t="s">
        <v>104</v>
      </c>
      <c r="P36" s="148" t="s">
        <v>22</v>
      </c>
      <c r="Q36" s="159">
        <f t="shared" si="3"/>
        <v>44502</v>
      </c>
      <c r="R36" s="143" t="s">
        <v>104</v>
      </c>
      <c r="S36" s="144" t="s">
        <v>104</v>
      </c>
      <c r="T36" s="153" t="s">
        <v>104</v>
      </c>
      <c r="U36" s="145" t="s">
        <v>22</v>
      </c>
      <c r="V36" s="160">
        <f t="shared" si="4"/>
        <v>44595</v>
      </c>
      <c r="W36" s="139" t="s">
        <v>104</v>
      </c>
      <c r="X36" s="140" t="s">
        <v>104</v>
      </c>
      <c r="Y36" s="152" t="s">
        <v>104</v>
      </c>
      <c r="Z36" s="141" t="s">
        <v>22</v>
      </c>
      <c r="AA36" s="142" t="s">
        <v>104</v>
      </c>
      <c r="AB36" s="161">
        <f t="shared" si="5"/>
        <v>44777</v>
      </c>
      <c r="AC36" s="129" t="s">
        <v>104</v>
      </c>
      <c r="AD36" s="130" t="s">
        <v>104</v>
      </c>
      <c r="AE36" s="131" t="s">
        <v>104</v>
      </c>
      <c r="AF36" s="132" t="s">
        <v>22</v>
      </c>
      <c r="AG36" s="133">
        <v>44803</v>
      </c>
      <c r="AH36" s="134" t="s">
        <v>104</v>
      </c>
      <c r="AI36" s="135" t="s">
        <v>104</v>
      </c>
      <c r="AJ36" s="136" t="s">
        <v>104</v>
      </c>
      <c r="AK36" s="137" t="s">
        <v>22</v>
      </c>
      <c r="AL36" s="120">
        <f t="shared" si="6"/>
        <v>391</v>
      </c>
      <c r="AM36" s="138" t="s">
        <v>104</v>
      </c>
    </row>
    <row r="37" spans="1:39" ht="39.950000000000003" customHeight="1" x14ac:dyDescent="0.25">
      <c r="A37" s="151">
        <f t="shared" si="0"/>
        <v>25</v>
      </c>
      <c r="B37" s="110">
        <f>'2DEMOGRAPHICS'!B37</f>
        <v>25</v>
      </c>
      <c r="C37" s="111" t="str">
        <f>'2DEMOGRAPHICS'!C37</f>
        <v>aaaaa11111aaaaa</v>
      </c>
      <c r="D37" s="112">
        <f>'2DEMOGRAPHICS'!D37</f>
        <v>44075</v>
      </c>
      <c r="E37" s="113">
        <f>'2DEMOGRAPHICS'!E37</f>
        <v>44077</v>
      </c>
      <c r="F37" s="138" t="s">
        <v>100</v>
      </c>
      <c r="G37" s="158">
        <f t="shared" si="1"/>
        <v>44107</v>
      </c>
      <c r="H37" s="129" t="s">
        <v>100</v>
      </c>
      <c r="I37" s="149" t="s">
        <v>100</v>
      </c>
      <c r="J37" s="131" t="s">
        <v>100</v>
      </c>
      <c r="K37" s="150" t="s">
        <v>22</v>
      </c>
      <c r="L37" s="156">
        <f t="shared" si="2"/>
        <v>44137</v>
      </c>
      <c r="M37" s="146" t="s">
        <v>100</v>
      </c>
      <c r="N37" s="147" t="s">
        <v>100</v>
      </c>
      <c r="O37" s="154" t="s">
        <v>100</v>
      </c>
      <c r="P37" s="148" t="s">
        <v>22</v>
      </c>
      <c r="Q37" s="159">
        <f t="shared" si="3"/>
        <v>44167</v>
      </c>
      <c r="R37" s="143" t="s">
        <v>100</v>
      </c>
      <c r="S37" s="144" t="s">
        <v>100</v>
      </c>
      <c r="T37" s="153" t="s">
        <v>100</v>
      </c>
      <c r="U37" s="145" t="s">
        <v>22</v>
      </c>
      <c r="V37" s="160">
        <f t="shared" si="4"/>
        <v>44260</v>
      </c>
      <c r="W37" s="139" t="s">
        <v>100</v>
      </c>
      <c r="X37" s="140" t="s">
        <v>100</v>
      </c>
      <c r="Y37" s="152" t="s">
        <v>100</v>
      </c>
      <c r="Z37" s="141" t="s">
        <v>22</v>
      </c>
      <c r="AA37" s="142" t="s">
        <v>100</v>
      </c>
      <c r="AB37" s="161">
        <f t="shared" si="5"/>
        <v>44442</v>
      </c>
      <c r="AC37" s="129" t="s">
        <v>100</v>
      </c>
      <c r="AD37" s="130" t="s">
        <v>100</v>
      </c>
      <c r="AE37" s="131" t="s">
        <v>100</v>
      </c>
      <c r="AF37" s="132" t="s">
        <v>22</v>
      </c>
      <c r="AG37" s="133">
        <v>44803</v>
      </c>
      <c r="AH37" s="134" t="s">
        <v>100</v>
      </c>
      <c r="AI37" s="135" t="s">
        <v>100</v>
      </c>
      <c r="AJ37" s="136" t="s">
        <v>100</v>
      </c>
      <c r="AK37" s="137" t="s">
        <v>22</v>
      </c>
      <c r="AL37" s="120">
        <f t="shared" si="6"/>
        <v>726</v>
      </c>
      <c r="AM37" s="138" t="s">
        <v>100</v>
      </c>
    </row>
    <row r="38" spans="1:39" ht="39.950000000000003" customHeight="1" x14ac:dyDescent="0.25">
      <c r="A38" s="151">
        <f t="shared" si="0"/>
        <v>26</v>
      </c>
      <c r="B38" s="110">
        <f>'2DEMOGRAPHICS'!B38</f>
        <v>26</v>
      </c>
      <c r="C38" s="111" t="str">
        <f>'2DEMOGRAPHICS'!C38</f>
        <v>aaaaa11111aaaaa</v>
      </c>
      <c r="D38" s="112">
        <f>'2DEMOGRAPHICS'!D38</f>
        <v>44105</v>
      </c>
      <c r="E38" s="113">
        <f>'2DEMOGRAPHICS'!E38</f>
        <v>44077</v>
      </c>
      <c r="F38" s="138" t="s">
        <v>104</v>
      </c>
      <c r="G38" s="158">
        <f t="shared" si="1"/>
        <v>44107</v>
      </c>
      <c r="H38" s="129" t="s">
        <v>104</v>
      </c>
      <c r="I38" s="149" t="s">
        <v>104</v>
      </c>
      <c r="J38" s="131" t="s">
        <v>104</v>
      </c>
      <c r="K38" s="150" t="s">
        <v>22</v>
      </c>
      <c r="L38" s="156">
        <f t="shared" si="2"/>
        <v>44137</v>
      </c>
      <c r="M38" s="146" t="s">
        <v>104</v>
      </c>
      <c r="N38" s="147" t="s">
        <v>104</v>
      </c>
      <c r="O38" s="154" t="s">
        <v>104</v>
      </c>
      <c r="P38" s="148" t="s">
        <v>22</v>
      </c>
      <c r="Q38" s="159">
        <f t="shared" si="3"/>
        <v>44167</v>
      </c>
      <c r="R38" s="143" t="s">
        <v>104</v>
      </c>
      <c r="S38" s="144" t="s">
        <v>104</v>
      </c>
      <c r="T38" s="153" t="s">
        <v>104</v>
      </c>
      <c r="U38" s="145" t="s">
        <v>22</v>
      </c>
      <c r="V38" s="160">
        <f t="shared" si="4"/>
        <v>44260</v>
      </c>
      <c r="W38" s="139" t="s">
        <v>104</v>
      </c>
      <c r="X38" s="140" t="s">
        <v>104</v>
      </c>
      <c r="Y38" s="152" t="s">
        <v>104</v>
      </c>
      <c r="Z38" s="141" t="s">
        <v>22</v>
      </c>
      <c r="AA38" s="142" t="s">
        <v>104</v>
      </c>
      <c r="AB38" s="161">
        <f t="shared" si="5"/>
        <v>44442</v>
      </c>
      <c r="AC38" s="129" t="s">
        <v>104</v>
      </c>
      <c r="AD38" s="130" t="s">
        <v>104</v>
      </c>
      <c r="AE38" s="131" t="s">
        <v>104</v>
      </c>
      <c r="AF38" s="132" t="s">
        <v>22</v>
      </c>
      <c r="AG38" s="133">
        <v>44803</v>
      </c>
      <c r="AH38" s="134" t="s">
        <v>104</v>
      </c>
      <c r="AI38" s="135" t="s">
        <v>104</v>
      </c>
      <c r="AJ38" s="136" t="s">
        <v>104</v>
      </c>
      <c r="AK38" s="137" t="s">
        <v>22</v>
      </c>
      <c r="AL38" s="120">
        <f t="shared" si="6"/>
        <v>726</v>
      </c>
      <c r="AM38" s="138" t="s">
        <v>104</v>
      </c>
    </row>
    <row r="39" spans="1:39" ht="39.950000000000003" customHeight="1" x14ac:dyDescent="0.25">
      <c r="A39" s="151">
        <f t="shared" si="0"/>
        <v>27</v>
      </c>
      <c r="B39" s="110">
        <f>'2DEMOGRAPHICS'!B39</f>
        <v>27</v>
      </c>
      <c r="C39" s="111" t="str">
        <f>'2DEMOGRAPHICS'!C39</f>
        <v>aaaaa11111aaaaa</v>
      </c>
      <c r="D39" s="112">
        <f>'2DEMOGRAPHICS'!D39</f>
        <v>44136</v>
      </c>
      <c r="E39" s="113">
        <f>'2DEMOGRAPHICS'!E39</f>
        <v>44137</v>
      </c>
      <c r="F39" s="138" t="s">
        <v>100</v>
      </c>
      <c r="G39" s="158">
        <f t="shared" si="1"/>
        <v>44167</v>
      </c>
      <c r="H39" s="129" t="s">
        <v>100</v>
      </c>
      <c r="I39" s="149" t="s">
        <v>100</v>
      </c>
      <c r="J39" s="131" t="s">
        <v>100</v>
      </c>
      <c r="K39" s="150" t="s">
        <v>22</v>
      </c>
      <c r="L39" s="156">
        <f t="shared" si="2"/>
        <v>44197</v>
      </c>
      <c r="M39" s="146" t="s">
        <v>100</v>
      </c>
      <c r="N39" s="147" t="s">
        <v>100</v>
      </c>
      <c r="O39" s="154" t="s">
        <v>100</v>
      </c>
      <c r="P39" s="148" t="s">
        <v>22</v>
      </c>
      <c r="Q39" s="159">
        <f t="shared" si="3"/>
        <v>44227</v>
      </c>
      <c r="R39" s="143" t="s">
        <v>100</v>
      </c>
      <c r="S39" s="144" t="s">
        <v>100</v>
      </c>
      <c r="T39" s="153" t="s">
        <v>100</v>
      </c>
      <c r="U39" s="145" t="s">
        <v>22</v>
      </c>
      <c r="V39" s="160">
        <f t="shared" si="4"/>
        <v>44320</v>
      </c>
      <c r="W39" s="139" t="s">
        <v>100</v>
      </c>
      <c r="X39" s="140" t="s">
        <v>100</v>
      </c>
      <c r="Y39" s="152" t="s">
        <v>100</v>
      </c>
      <c r="Z39" s="141" t="s">
        <v>22</v>
      </c>
      <c r="AA39" s="142" t="s">
        <v>100</v>
      </c>
      <c r="AB39" s="161">
        <f t="shared" si="5"/>
        <v>44502</v>
      </c>
      <c r="AC39" s="129" t="s">
        <v>100</v>
      </c>
      <c r="AD39" s="130" t="s">
        <v>100</v>
      </c>
      <c r="AE39" s="131" t="s">
        <v>100</v>
      </c>
      <c r="AF39" s="132" t="s">
        <v>22</v>
      </c>
      <c r="AG39" s="133">
        <v>44803</v>
      </c>
      <c r="AH39" s="134" t="s">
        <v>100</v>
      </c>
      <c r="AI39" s="135" t="s">
        <v>100</v>
      </c>
      <c r="AJ39" s="136" t="s">
        <v>100</v>
      </c>
      <c r="AK39" s="137" t="s">
        <v>22</v>
      </c>
      <c r="AL39" s="120">
        <f t="shared" si="6"/>
        <v>666</v>
      </c>
      <c r="AM39" s="138" t="s">
        <v>100</v>
      </c>
    </row>
    <row r="40" spans="1:39" ht="39.950000000000003" customHeight="1" x14ac:dyDescent="0.25">
      <c r="A40" s="151">
        <f t="shared" si="0"/>
        <v>28</v>
      </c>
      <c r="B40" s="110">
        <f>'2DEMOGRAPHICS'!B40</f>
        <v>28</v>
      </c>
      <c r="C40" s="111" t="str">
        <f>'2DEMOGRAPHICS'!C40</f>
        <v>aaaaa11111aaaaa</v>
      </c>
      <c r="D40" s="112">
        <f>'2DEMOGRAPHICS'!D40</f>
        <v>44166</v>
      </c>
      <c r="E40" s="113">
        <f>'2DEMOGRAPHICS'!E40</f>
        <v>44170</v>
      </c>
      <c r="F40" s="138" t="s">
        <v>104</v>
      </c>
      <c r="G40" s="158">
        <f t="shared" si="1"/>
        <v>44200</v>
      </c>
      <c r="H40" s="129" t="s">
        <v>104</v>
      </c>
      <c r="I40" s="149" t="s">
        <v>104</v>
      </c>
      <c r="J40" s="131" t="s">
        <v>104</v>
      </c>
      <c r="K40" s="150" t="s">
        <v>22</v>
      </c>
      <c r="L40" s="156">
        <f t="shared" si="2"/>
        <v>44230</v>
      </c>
      <c r="M40" s="146" t="s">
        <v>104</v>
      </c>
      <c r="N40" s="147" t="s">
        <v>104</v>
      </c>
      <c r="O40" s="154" t="s">
        <v>104</v>
      </c>
      <c r="P40" s="148" t="s">
        <v>22</v>
      </c>
      <c r="Q40" s="159">
        <f t="shared" si="3"/>
        <v>44260</v>
      </c>
      <c r="R40" s="143" t="s">
        <v>104</v>
      </c>
      <c r="S40" s="144" t="s">
        <v>104</v>
      </c>
      <c r="T40" s="153" t="s">
        <v>104</v>
      </c>
      <c r="U40" s="145" t="s">
        <v>22</v>
      </c>
      <c r="V40" s="160">
        <f t="shared" si="4"/>
        <v>44353</v>
      </c>
      <c r="W40" s="139" t="s">
        <v>104</v>
      </c>
      <c r="X40" s="140" t="s">
        <v>104</v>
      </c>
      <c r="Y40" s="152" t="s">
        <v>104</v>
      </c>
      <c r="Z40" s="141" t="s">
        <v>22</v>
      </c>
      <c r="AA40" s="142" t="s">
        <v>104</v>
      </c>
      <c r="AB40" s="161">
        <f t="shared" si="5"/>
        <v>44535</v>
      </c>
      <c r="AC40" s="129" t="s">
        <v>104</v>
      </c>
      <c r="AD40" s="130" t="s">
        <v>104</v>
      </c>
      <c r="AE40" s="131" t="s">
        <v>104</v>
      </c>
      <c r="AF40" s="132" t="s">
        <v>22</v>
      </c>
      <c r="AG40" s="133">
        <v>44803</v>
      </c>
      <c r="AH40" s="134" t="s">
        <v>104</v>
      </c>
      <c r="AI40" s="135" t="s">
        <v>104</v>
      </c>
      <c r="AJ40" s="136" t="s">
        <v>104</v>
      </c>
      <c r="AK40" s="137" t="s">
        <v>22</v>
      </c>
      <c r="AL40" s="120">
        <f t="shared" si="6"/>
        <v>633</v>
      </c>
      <c r="AM40" s="138" t="s">
        <v>104</v>
      </c>
    </row>
    <row r="41" spans="1:39" ht="39.950000000000003" customHeight="1" x14ac:dyDescent="0.25">
      <c r="A41" s="151">
        <f t="shared" si="0"/>
        <v>29</v>
      </c>
      <c r="B41" s="110">
        <f>'2DEMOGRAPHICS'!B41</f>
        <v>29</v>
      </c>
      <c r="C41" s="111" t="str">
        <f>'2DEMOGRAPHICS'!C41</f>
        <v>aaaaa11111aaaaa</v>
      </c>
      <c r="D41" s="112">
        <f>'2DEMOGRAPHICS'!D41</f>
        <v>44197</v>
      </c>
      <c r="E41" s="113">
        <f>'2DEMOGRAPHICS'!E41</f>
        <v>44201</v>
      </c>
      <c r="F41" s="138" t="s">
        <v>100</v>
      </c>
      <c r="G41" s="158">
        <f t="shared" si="1"/>
        <v>44231</v>
      </c>
      <c r="H41" s="129" t="s">
        <v>100</v>
      </c>
      <c r="I41" s="149" t="s">
        <v>100</v>
      </c>
      <c r="J41" s="131" t="s">
        <v>100</v>
      </c>
      <c r="K41" s="150" t="s">
        <v>22</v>
      </c>
      <c r="L41" s="156">
        <f t="shared" si="2"/>
        <v>44261</v>
      </c>
      <c r="M41" s="146" t="s">
        <v>100</v>
      </c>
      <c r="N41" s="147" t="s">
        <v>100</v>
      </c>
      <c r="O41" s="154" t="s">
        <v>100</v>
      </c>
      <c r="P41" s="148" t="s">
        <v>22</v>
      </c>
      <c r="Q41" s="159">
        <f t="shared" si="3"/>
        <v>44291</v>
      </c>
      <c r="R41" s="143" t="s">
        <v>100</v>
      </c>
      <c r="S41" s="144" t="s">
        <v>100</v>
      </c>
      <c r="T41" s="153" t="s">
        <v>100</v>
      </c>
      <c r="U41" s="145" t="s">
        <v>22</v>
      </c>
      <c r="V41" s="160">
        <f t="shared" si="4"/>
        <v>44384</v>
      </c>
      <c r="W41" s="139" t="s">
        <v>100</v>
      </c>
      <c r="X41" s="140" t="s">
        <v>100</v>
      </c>
      <c r="Y41" s="152" t="s">
        <v>100</v>
      </c>
      <c r="Z41" s="141" t="s">
        <v>22</v>
      </c>
      <c r="AA41" s="142" t="s">
        <v>100</v>
      </c>
      <c r="AB41" s="161">
        <f t="shared" si="5"/>
        <v>44566</v>
      </c>
      <c r="AC41" s="129" t="s">
        <v>100</v>
      </c>
      <c r="AD41" s="130" t="s">
        <v>100</v>
      </c>
      <c r="AE41" s="131" t="s">
        <v>100</v>
      </c>
      <c r="AF41" s="132" t="s">
        <v>22</v>
      </c>
      <c r="AG41" s="133">
        <v>44803</v>
      </c>
      <c r="AH41" s="134" t="s">
        <v>100</v>
      </c>
      <c r="AI41" s="135" t="s">
        <v>100</v>
      </c>
      <c r="AJ41" s="136" t="s">
        <v>100</v>
      </c>
      <c r="AK41" s="137" t="s">
        <v>22</v>
      </c>
      <c r="AL41" s="120">
        <f t="shared" si="6"/>
        <v>602</v>
      </c>
      <c r="AM41" s="138" t="s">
        <v>100</v>
      </c>
    </row>
    <row r="42" spans="1:39" ht="39.950000000000003" customHeight="1" x14ac:dyDescent="0.25">
      <c r="A42" s="151">
        <f t="shared" si="0"/>
        <v>30</v>
      </c>
      <c r="B42" s="110">
        <f>'2DEMOGRAPHICS'!B42</f>
        <v>30</v>
      </c>
      <c r="C42" s="111" t="str">
        <f>'2DEMOGRAPHICS'!C42</f>
        <v>aaaaa11111aaaaa</v>
      </c>
      <c r="D42" s="112">
        <f>'2DEMOGRAPHICS'!D42</f>
        <v>44228</v>
      </c>
      <c r="E42" s="113">
        <f>'2DEMOGRAPHICS'!E42</f>
        <v>44230</v>
      </c>
      <c r="F42" s="138" t="s">
        <v>104</v>
      </c>
      <c r="G42" s="158">
        <f t="shared" si="1"/>
        <v>44260</v>
      </c>
      <c r="H42" s="129" t="s">
        <v>104</v>
      </c>
      <c r="I42" s="149" t="s">
        <v>104</v>
      </c>
      <c r="J42" s="131" t="s">
        <v>104</v>
      </c>
      <c r="K42" s="150" t="s">
        <v>22</v>
      </c>
      <c r="L42" s="156">
        <f t="shared" si="2"/>
        <v>44290</v>
      </c>
      <c r="M42" s="146" t="s">
        <v>104</v>
      </c>
      <c r="N42" s="147" t="s">
        <v>104</v>
      </c>
      <c r="O42" s="154" t="s">
        <v>104</v>
      </c>
      <c r="P42" s="148" t="s">
        <v>22</v>
      </c>
      <c r="Q42" s="159">
        <f t="shared" si="3"/>
        <v>44320</v>
      </c>
      <c r="R42" s="143" t="s">
        <v>104</v>
      </c>
      <c r="S42" s="144" t="s">
        <v>104</v>
      </c>
      <c r="T42" s="153" t="s">
        <v>104</v>
      </c>
      <c r="U42" s="145" t="s">
        <v>22</v>
      </c>
      <c r="V42" s="160">
        <f t="shared" si="4"/>
        <v>44413</v>
      </c>
      <c r="W42" s="139" t="s">
        <v>104</v>
      </c>
      <c r="X42" s="140" t="s">
        <v>104</v>
      </c>
      <c r="Y42" s="152" t="s">
        <v>104</v>
      </c>
      <c r="Z42" s="141" t="s">
        <v>22</v>
      </c>
      <c r="AA42" s="142" t="s">
        <v>104</v>
      </c>
      <c r="AB42" s="161">
        <f t="shared" si="5"/>
        <v>44595</v>
      </c>
      <c r="AC42" s="129" t="s">
        <v>104</v>
      </c>
      <c r="AD42" s="130" t="s">
        <v>104</v>
      </c>
      <c r="AE42" s="131" t="s">
        <v>104</v>
      </c>
      <c r="AF42" s="132" t="s">
        <v>22</v>
      </c>
      <c r="AG42" s="133">
        <v>44803</v>
      </c>
      <c r="AH42" s="134" t="s">
        <v>104</v>
      </c>
      <c r="AI42" s="135" t="s">
        <v>104</v>
      </c>
      <c r="AJ42" s="136" t="s">
        <v>104</v>
      </c>
      <c r="AK42" s="137" t="s">
        <v>22</v>
      </c>
      <c r="AL42" s="120">
        <f t="shared" si="6"/>
        <v>573</v>
      </c>
      <c r="AM42" s="138" t="s">
        <v>104</v>
      </c>
    </row>
    <row r="43" spans="1:39" ht="39.950000000000003" customHeight="1" x14ac:dyDescent="0.25">
      <c r="A43" s="151">
        <f t="shared" si="0"/>
        <v>31</v>
      </c>
      <c r="B43" s="110">
        <f>'2DEMOGRAPHICS'!B43</f>
        <v>31</v>
      </c>
      <c r="C43" s="111" t="str">
        <f>'2DEMOGRAPHICS'!C43</f>
        <v>aaaaa11111aaaaa</v>
      </c>
      <c r="D43" s="112">
        <f>'2DEMOGRAPHICS'!D43</f>
        <v>44256</v>
      </c>
      <c r="E43" s="113">
        <f>'2DEMOGRAPHICS'!E43</f>
        <v>44259</v>
      </c>
      <c r="F43" s="138" t="s">
        <v>100</v>
      </c>
      <c r="G43" s="158">
        <f t="shared" si="1"/>
        <v>44289</v>
      </c>
      <c r="H43" s="129" t="s">
        <v>100</v>
      </c>
      <c r="I43" s="149" t="s">
        <v>100</v>
      </c>
      <c r="J43" s="131" t="s">
        <v>100</v>
      </c>
      <c r="K43" s="150" t="s">
        <v>22</v>
      </c>
      <c r="L43" s="156">
        <f t="shared" si="2"/>
        <v>44319</v>
      </c>
      <c r="M43" s="146" t="s">
        <v>100</v>
      </c>
      <c r="N43" s="147" t="s">
        <v>100</v>
      </c>
      <c r="O43" s="154" t="s">
        <v>100</v>
      </c>
      <c r="P43" s="148" t="s">
        <v>22</v>
      </c>
      <c r="Q43" s="159">
        <f t="shared" si="3"/>
        <v>44349</v>
      </c>
      <c r="R43" s="143" t="s">
        <v>100</v>
      </c>
      <c r="S43" s="144" t="s">
        <v>100</v>
      </c>
      <c r="T43" s="153" t="s">
        <v>100</v>
      </c>
      <c r="U43" s="145" t="s">
        <v>22</v>
      </c>
      <c r="V43" s="160">
        <f t="shared" si="4"/>
        <v>44442</v>
      </c>
      <c r="W43" s="139" t="s">
        <v>100</v>
      </c>
      <c r="X43" s="140" t="s">
        <v>100</v>
      </c>
      <c r="Y43" s="152" t="s">
        <v>100</v>
      </c>
      <c r="Z43" s="141" t="s">
        <v>22</v>
      </c>
      <c r="AA43" s="142" t="s">
        <v>100</v>
      </c>
      <c r="AB43" s="161">
        <f t="shared" si="5"/>
        <v>44624</v>
      </c>
      <c r="AC43" s="129" t="s">
        <v>100</v>
      </c>
      <c r="AD43" s="130" t="s">
        <v>100</v>
      </c>
      <c r="AE43" s="131" t="s">
        <v>100</v>
      </c>
      <c r="AF43" s="132" t="s">
        <v>22</v>
      </c>
      <c r="AG43" s="133">
        <v>44803</v>
      </c>
      <c r="AH43" s="134" t="s">
        <v>100</v>
      </c>
      <c r="AI43" s="135" t="s">
        <v>100</v>
      </c>
      <c r="AJ43" s="136" t="s">
        <v>100</v>
      </c>
      <c r="AK43" s="137" t="s">
        <v>22</v>
      </c>
      <c r="AL43" s="120">
        <f t="shared" si="6"/>
        <v>544</v>
      </c>
      <c r="AM43" s="138" t="s">
        <v>100</v>
      </c>
    </row>
    <row r="44" spans="1:39" ht="39.950000000000003" customHeight="1" x14ac:dyDescent="0.25">
      <c r="A44" s="151">
        <f t="shared" si="0"/>
        <v>32</v>
      </c>
      <c r="B44" s="110">
        <f>'2DEMOGRAPHICS'!B44</f>
        <v>32</v>
      </c>
      <c r="C44" s="111" t="str">
        <f>'2DEMOGRAPHICS'!C44</f>
        <v>aaaaa11111aaaaa</v>
      </c>
      <c r="D44" s="112">
        <f>'2DEMOGRAPHICS'!D44</f>
        <v>44287</v>
      </c>
      <c r="E44" s="113">
        <f>'2DEMOGRAPHICS'!E44</f>
        <v>44291</v>
      </c>
      <c r="F44" s="138" t="s">
        <v>104</v>
      </c>
      <c r="G44" s="158">
        <f t="shared" si="1"/>
        <v>44321</v>
      </c>
      <c r="H44" s="129" t="s">
        <v>104</v>
      </c>
      <c r="I44" s="149" t="s">
        <v>104</v>
      </c>
      <c r="J44" s="131" t="s">
        <v>104</v>
      </c>
      <c r="K44" s="150" t="s">
        <v>22</v>
      </c>
      <c r="L44" s="156">
        <f t="shared" si="2"/>
        <v>44351</v>
      </c>
      <c r="M44" s="146" t="s">
        <v>104</v>
      </c>
      <c r="N44" s="147" t="s">
        <v>104</v>
      </c>
      <c r="O44" s="154" t="s">
        <v>104</v>
      </c>
      <c r="P44" s="148" t="s">
        <v>22</v>
      </c>
      <c r="Q44" s="159">
        <f t="shared" si="3"/>
        <v>44381</v>
      </c>
      <c r="R44" s="143" t="s">
        <v>104</v>
      </c>
      <c r="S44" s="144" t="s">
        <v>104</v>
      </c>
      <c r="T44" s="153" t="s">
        <v>104</v>
      </c>
      <c r="U44" s="145" t="s">
        <v>22</v>
      </c>
      <c r="V44" s="160">
        <f t="shared" si="4"/>
        <v>44474</v>
      </c>
      <c r="W44" s="139" t="s">
        <v>104</v>
      </c>
      <c r="X44" s="140" t="s">
        <v>104</v>
      </c>
      <c r="Y44" s="152" t="s">
        <v>104</v>
      </c>
      <c r="Z44" s="141" t="s">
        <v>22</v>
      </c>
      <c r="AA44" s="142" t="s">
        <v>104</v>
      </c>
      <c r="AB44" s="161">
        <f t="shared" si="5"/>
        <v>44656</v>
      </c>
      <c r="AC44" s="129" t="s">
        <v>104</v>
      </c>
      <c r="AD44" s="130" t="s">
        <v>104</v>
      </c>
      <c r="AE44" s="131" t="s">
        <v>104</v>
      </c>
      <c r="AF44" s="132" t="s">
        <v>22</v>
      </c>
      <c r="AG44" s="133">
        <v>44803</v>
      </c>
      <c r="AH44" s="134" t="s">
        <v>104</v>
      </c>
      <c r="AI44" s="135" t="s">
        <v>104</v>
      </c>
      <c r="AJ44" s="136" t="s">
        <v>104</v>
      </c>
      <c r="AK44" s="137" t="s">
        <v>22</v>
      </c>
      <c r="AL44" s="120">
        <f t="shared" si="6"/>
        <v>512</v>
      </c>
      <c r="AM44" s="138" t="s">
        <v>104</v>
      </c>
    </row>
    <row r="45" spans="1:39" ht="39.950000000000003" customHeight="1" x14ac:dyDescent="0.25">
      <c r="A45" s="151">
        <f t="shared" si="0"/>
        <v>33</v>
      </c>
      <c r="B45" s="110">
        <f>'2DEMOGRAPHICS'!B45</f>
        <v>33</v>
      </c>
      <c r="C45" s="111" t="str">
        <f>'2DEMOGRAPHICS'!C45</f>
        <v>aaaaa11111aaaaa</v>
      </c>
      <c r="D45" s="112">
        <f>'2DEMOGRAPHICS'!D45</f>
        <v>44317</v>
      </c>
      <c r="E45" s="113">
        <f>'2DEMOGRAPHICS'!E45</f>
        <v>44319</v>
      </c>
      <c r="F45" s="138" t="s">
        <v>100</v>
      </c>
      <c r="G45" s="158">
        <f t="shared" si="1"/>
        <v>44349</v>
      </c>
      <c r="H45" s="129" t="s">
        <v>100</v>
      </c>
      <c r="I45" s="149" t="s">
        <v>100</v>
      </c>
      <c r="J45" s="131" t="s">
        <v>100</v>
      </c>
      <c r="K45" s="150" t="s">
        <v>22</v>
      </c>
      <c r="L45" s="156">
        <f t="shared" si="2"/>
        <v>44379</v>
      </c>
      <c r="M45" s="146" t="s">
        <v>100</v>
      </c>
      <c r="N45" s="147" t="s">
        <v>100</v>
      </c>
      <c r="O45" s="154" t="s">
        <v>100</v>
      </c>
      <c r="P45" s="148" t="s">
        <v>22</v>
      </c>
      <c r="Q45" s="159">
        <f t="shared" si="3"/>
        <v>44409</v>
      </c>
      <c r="R45" s="143" t="s">
        <v>100</v>
      </c>
      <c r="S45" s="144" t="s">
        <v>100</v>
      </c>
      <c r="T45" s="153" t="s">
        <v>100</v>
      </c>
      <c r="U45" s="145" t="s">
        <v>22</v>
      </c>
      <c r="V45" s="160">
        <f t="shared" si="4"/>
        <v>44502</v>
      </c>
      <c r="W45" s="139" t="s">
        <v>100</v>
      </c>
      <c r="X45" s="140" t="s">
        <v>100</v>
      </c>
      <c r="Y45" s="152" t="s">
        <v>100</v>
      </c>
      <c r="Z45" s="141" t="s">
        <v>22</v>
      </c>
      <c r="AA45" s="142" t="s">
        <v>100</v>
      </c>
      <c r="AB45" s="161">
        <f t="shared" si="5"/>
        <v>44684</v>
      </c>
      <c r="AC45" s="129" t="s">
        <v>100</v>
      </c>
      <c r="AD45" s="130" t="s">
        <v>100</v>
      </c>
      <c r="AE45" s="131" t="s">
        <v>100</v>
      </c>
      <c r="AF45" s="132" t="s">
        <v>22</v>
      </c>
      <c r="AG45" s="133">
        <v>44803</v>
      </c>
      <c r="AH45" s="134" t="s">
        <v>100</v>
      </c>
      <c r="AI45" s="135" t="s">
        <v>100</v>
      </c>
      <c r="AJ45" s="136" t="s">
        <v>100</v>
      </c>
      <c r="AK45" s="137" t="s">
        <v>22</v>
      </c>
      <c r="AL45" s="120">
        <f t="shared" si="6"/>
        <v>484</v>
      </c>
      <c r="AM45" s="138" t="s">
        <v>100</v>
      </c>
    </row>
    <row r="46" spans="1:39" ht="39.950000000000003" customHeight="1" x14ac:dyDescent="0.25">
      <c r="A46" s="151">
        <f t="shared" si="0"/>
        <v>34</v>
      </c>
      <c r="B46" s="110">
        <f>'2DEMOGRAPHICS'!B46</f>
        <v>34</v>
      </c>
      <c r="C46" s="111" t="str">
        <f>'2DEMOGRAPHICS'!C46</f>
        <v>aaaaa11111aaaaa</v>
      </c>
      <c r="D46" s="112">
        <f>'2DEMOGRAPHICS'!D46</f>
        <v>44348</v>
      </c>
      <c r="E46" s="113">
        <f>'2DEMOGRAPHICS'!E46</f>
        <v>44351</v>
      </c>
      <c r="F46" s="138" t="s">
        <v>104</v>
      </c>
      <c r="G46" s="158">
        <f t="shared" si="1"/>
        <v>44381</v>
      </c>
      <c r="H46" s="129" t="s">
        <v>104</v>
      </c>
      <c r="I46" s="149" t="s">
        <v>104</v>
      </c>
      <c r="J46" s="131" t="s">
        <v>104</v>
      </c>
      <c r="K46" s="150" t="s">
        <v>22</v>
      </c>
      <c r="L46" s="156">
        <f t="shared" si="2"/>
        <v>44411</v>
      </c>
      <c r="M46" s="146" t="s">
        <v>104</v>
      </c>
      <c r="N46" s="147" t="s">
        <v>104</v>
      </c>
      <c r="O46" s="154" t="s">
        <v>104</v>
      </c>
      <c r="P46" s="148" t="s">
        <v>22</v>
      </c>
      <c r="Q46" s="159">
        <f t="shared" si="3"/>
        <v>44441</v>
      </c>
      <c r="R46" s="143" t="s">
        <v>104</v>
      </c>
      <c r="S46" s="144" t="s">
        <v>104</v>
      </c>
      <c r="T46" s="153" t="s">
        <v>104</v>
      </c>
      <c r="U46" s="145" t="s">
        <v>22</v>
      </c>
      <c r="V46" s="160">
        <f t="shared" si="4"/>
        <v>44534</v>
      </c>
      <c r="W46" s="139" t="s">
        <v>104</v>
      </c>
      <c r="X46" s="140" t="s">
        <v>104</v>
      </c>
      <c r="Y46" s="152" t="s">
        <v>104</v>
      </c>
      <c r="Z46" s="141" t="s">
        <v>22</v>
      </c>
      <c r="AA46" s="142" t="s">
        <v>104</v>
      </c>
      <c r="AB46" s="161">
        <f t="shared" si="5"/>
        <v>44716</v>
      </c>
      <c r="AC46" s="129" t="s">
        <v>104</v>
      </c>
      <c r="AD46" s="130" t="s">
        <v>104</v>
      </c>
      <c r="AE46" s="131" t="s">
        <v>104</v>
      </c>
      <c r="AF46" s="132" t="s">
        <v>22</v>
      </c>
      <c r="AG46" s="133">
        <v>44803</v>
      </c>
      <c r="AH46" s="134" t="s">
        <v>104</v>
      </c>
      <c r="AI46" s="135" t="s">
        <v>104</v>
      </c>
      <c r="AJ46" s="136" t="s">
        <v>104</v>
      </c>
      <c r="AK46" s="137" t="s">
        <v>22</v>
      </c>
      <c r="AL46" s="120">
        <f t="shared" si="6"/>
        <v>452</v>
      </c>
      <c r="AM46" s="138" t="s">
        <v>104</v>
      </c>
    </row>
    <row r="47" spans="1:39" ht="39.950000000000003" customHeight="1" x14ac:dyDescent="0.25">
      <c r="A47" s="151">
        <f t="shared" si="0"/>
        <v>35</v>
      </c>
      <c r="B47" s="110">
        <f>'2DEMOGRAPHICS'!B47</f>
        <v>35</v>
      </c>
      <c r="C47" s="111" t="str">
        <f>'2DEMOGRAPHICS'!C47</f>
        <v>aaaaa11111aaaaa</v>
      </c>
      <c r="D47" s="112">
        <f>'2DEMOGRAPHICS'!D47</f>
        <v>44378</v>
      </c>
      <c r="E47" s="113">
        <f>'2DEMOGRAPHICS'!E47</f>
        <v>44379</v>
      </c>
      <c r="F47" s="138" t="s">
        <v>100</v>
      </c>
      <c r="G47" s="158">
        <f t="shared" si="1"/>
        <v>44409</v>
      </c>
      <c r="H47" s="129" t="s">
        <v>100</v>
      </c>
      <c r="I47" s="149" t="s">
        <v>100</v>
      </c>
      <c r="J47" s="131" t="s">
        <v>100</v>
      </c>
      <c r="K47" s="150" t="s">
        <v>22</v>
      </c>
      <c r="L47" s="156">
        <f t="shared" si="2"/>
        <v>44439</v>
      </c>
      <c r="M47" s="146" t="s">
        <v>100</v>
      </c>
      <c r="N47" s="147" t="s">
        <v>100</v>
      </c>
      <c r="O47" s="154" t="s">
        <v>100</v>
      </c>
      <c r="P47" s="148" t="s">
        <v>22</v>
      </c>
      <c r="Q47" s="159">
        <f t="shared" si="3"/>
        <v>44469</v>
      </c>
      <c r="R47" s="143" t="s">
        <v>100</v>
      </c>
      <c r="S47" s="144" t="s">
        <v>100</v>
      </c>
      <c r="T47" s="153" t="s">
        <v>100</v>
      </c>
      <c r="U47" s="145" t="s">
        <v>22</v>
      </c>
      <c r="V47" s="160">
        <f t="shared" si="4"/>
        <v>44562</v>
      </c>
      <c r="W47" s="139" t="s">
        <v>100</v>
      </c>
      <c r="X47" s="140" t="s">
        <v>100</v>
      </c>
      <c r="Y47" s="152" t="s">
        <v>100</v>
      </c>
      <c r="Z47" s="141" t="s">
        <v>22</v>
      </c>
      <c r="AA47" s="142" t="s">
        <v>100</v>
      </c>
      <c r="AB47" s="161">
        <f t="shared" si="5"/>
        <v>44744</v>
      </c>
      <c r="AC47" s="129" t="s">
        <v>100</v>
      </c>
      <c r="AD47" s="130" t="s">
        <v>100</v>
      </c>
      <c r="AE47" s="131" t="s">
        <v>100</v>
      </c>
      <c r="AF47" s="132" t="s">
        <v>22</v>
      </c>
      <c r="AG47" s="133">
        <v>44803</v>
      </c>
      <c r="AH47" s="134" t="s">
        <v>100</v>
      </c>
      <c r="AI47" s="135" t="s">
        <v>100</v>
      </c>
      <c r="AJ47" s="136" t="s">
        <v>100</v>
      </c>
      <c r="AK47" s="137" t="s">
        <v>22</v>
      </c>
      <c r="AL47" s="120">
        <f t="shared" si="6"/>
        <v>424</v>
      </c>
      <c r="AM47" s="138" t="s">
        <v>100</v>
      </c>
    </row>
    <row r="48" spans="1:39" ht="39.950000000000003" customHeight="1" x14ac:dyDescent="0.25">
      <c r="A48" s="151">
        <f t="shared" si="0"/>
        <v>36</v>
      </c>
      <c r="B48" s="110">
        <f>'2DEMOGRAPHICS'!B48</f>
        <v>36</v>
      </c>
      <c r="C48" s="111" t="str">
        <f>'2DEMOGRAPHICS'!C48</f>
        <v>aaaaa11111aaaaa</v>
      </c>
      <c r="D48" s="112">
        <f>'2DEMOGRAPHICS'!D48</f>
        <v>44409</v>
      </c>
      <c r="E48" s="113">
        <f>'2DEMOGRAPHICS'!E48</f>
        <v>44412</v>
      </c>
      <c r="F48" s="138" t="s">
        <v>104</v>
      </c>
      <c r="G48" s="158">
        <f t="shared" si="1"/>
        <v>44442</v>
      </c>
      <c r="H48" s="129" t="s">
        <v>104</v>
      </c>
      <c r="I48" s="149" t="s">
        <v>104</v>
      </c>
      <c r="J48" s="131" t="s">
        <v>104</v>
      </c>
      <c r="K48" s="150" t="s">
        <v>22</v>
      </c>
      <c r="L48" s="156">
        <f t="shared" si="2"/>
        <v>44472</v>
      </c>
      <c r="M48" s="146" t="s">
        <v>104</v>
      </c>
      <c r="N48" s="147" t="s">
        <v>104</v>
      </c>
      <c r="O48" s="154" t="s">
        <v>104</v>
      </c>
      <c r="P48" s="148" t="s">
        <v>22</v>
      </c>
      <c r="Q48" s="159">
        <f t="shared" si="3"/>
        <v>44502</v>
      </c>
      <c r="R48" s="143" t="s">
        <v>104</v>
      </c>
      <c r="S48" s="144" t="s">
        <v>104</v>
      </c>
      <c r="T48" s="153" t="s">
        <v>104</v>
      </c>
      <c r="U48" s="145" t="s">
        <v>22</v>
      </c>
      <c r="V48" s="160">
        <f t="shared" si="4"/>
        <v>44595</v>
      </c>
      <c r="W48" s="139" t="s">
        <v>104</v>
      </c>
      <c r="X48" s="140" t="s">
        <v>104</v>
      </c>
      <c r="Y48" s="152" t="s">
        <v>104</v>
      </c>
      <c r="Z48" s="141" t="s">
        <v>22</v>
      </c>
      <c r="AA48" s="142" t="s">
        <v>104</v>
      </c>
      <c r="AB48" s="161">
        <f t="shared" si="5"/>
        <v>44777</v>
      </c>
      <c r="AC48" s="129" t="s">
        <v>104</v>
      </c>
      <c r="AD48" s="130" t="s">
        <v>104</v>
      </c>
      <c r="AE48" s="131" t="s">
        <v>104</v>
      </c>
      <c r="AF48" s="132" t="s">
        <v>22</v>
      </c>
      <c r="AG48" s="133">
        <v>44803</v>
      </c>
      <c r="AH48" s="134" t="s">
        <v>104</v>
      </c>
      <c r="AI48" s="135" t="s">
        <v>104</v>
      </c>
      <c r="AJ48" s="136" t="s">
        <v>104</v>
      </c>
      <c r="AK48" s="137" t="s">
        <v>22</v>
      </c>
      <c r="AL48" s="120">
        <f t="shared" si="6"/>
        <v>391</v>
      </c>
      <c r="AM48" s="138" t="s">
        <v>104</v>
      </c>
    </row>
    <row r="49" spans="1:39" ht="39.950000000000003" customHeight="1" x14ac:dyDescent="0.25">
      <c r="A49" s="151">
        <f t="shared" si="0"/>
        <v>37</v>
      </c>
      <c r="B49" s="110">
        <f>'2DEMOGRAPHICS'!B49</f>
        <v>37</v>
      </c>
      <c r="C49" s="111" t="str">
        <f>'2DEMOGRAPHICS'!C49</f>
        <v>aaaaa11111aaaaa</v>
      </c>
      <c r="D49" s="112">
        <f>'2DEMOGRAPHICS'!D49</f>
        <v>44075</v>
      </c>
      <c r="E49" s="113">
        <f>'2DEMOGRAPHICS'!E49</f>
        <v>44077</v>
      </c>
      <c r="F49" s="138" t="s">
        <v>100</v>
      </c>
      <c r="G49" s="158">
        <f t="shared" si="1"/>
        <v>44107</v>
      </c>
      <c r="H49" s="129" t="s">
        <v>100</v>
      </c>
      <c r="I49" s="149" t="s">
        <v>100</v>
      </c>
      <c r="J49" s="131" t="s">
        <v>100</v>
      </c>
      <c r="K49" s="150" t="s">
        <v>22</v>
      </c>
      <c r="L49" s="156">
        <f t="shared" si="2"/>
        <v>44137</v>
      </c>
      <c r="M49" s="146" t="s">
        <v>100</v>
      </c>
      <c r="N49" s="147" t="s">
        <v>100</v>
      </c>
      <c r="O49" s="154" t="s">
        <v>100</v>
      </c>
      <c r="P49" s="148" t="s">
        <v>22</v>
      </c>
      <c r="Q49" s="159">
        <f t="shared" si="3"/>
        <v>44167</v>
      </c>
      <c r="R49" s="143" t="s">
        <v>100</v>
      </c>
      <c r="S49" s="144" t="s">
        <v>100</v>
      </c>
      <c r="T49" s="153" t="s">
        <v>100</v>
      </c>
      <c r="U49" s="145" t="s">
        <v>22</v>
      </c>
      <c r="V49" s="160">
        <f t="shared" si="4"/>
        <v>44260</v>
      </c>
      <c r="W49" s="139" t="s">
        <v>100</v>
      </c>
      <c r="X49" s="140" t="s">
        <v>100</v>
      </c>
      <c r="Y49" s="152" t="s">
        <v>100</v>
      </c>
      <c r="Z49" s="141" t="s">
        <v>22</v>
      </c>
      <c r="AA49" s="142" t="s">
        <v>100</v>
      </c>
      <c r="AB49" s="161">
        <f t="shared" si="5"/>
        <v>44442</v>
      </c>
      <c r="AC49" s="129" t="s">
        <v>100</v>
      </c>
      <c r="AD49" s="130" t="s">
        <v>100</v>
      </c>
      <c r="AE49" s="131" t="s">
        <v>100</v>
      </c>
      <c r="AF49" s="132" t="s">
        <v>22</v>
      </c>
      <c r="AG49" s="133">
        <v>44803</v>
      </c>
      <c r="AH49" s="134" t="s">
        <v>100</v>
      </c>
      <c r="AI49" s="135" t="s">
        <v>100</v>
      </c>
      <c r="AJ49" s="136" t="s">
        <v>100</v>
      </c>
      <c r="AK49" s="137" t="s">
        <v>22</v>
      </c>
      <c r="AL49" s="120">
        <f t="shared" si="6"/>
        <v>726</v>
      </c>
      <c r="AM49" s="138" t="s">
        <v>100</v>
      </c>
    </row>
    <row r="50" spans="1:39" ht="39.950000000000003" customHeight="1" x14ac:dyDescent="0.25">
      <c r="A50" s="151">
        <f t="shared" si="0"/>
        <v>38</v>
      </c>
      <c r="B50" s="110">
        <f>'2DEMOGRAPHICS'!B50</f>
        <v>38</v>
      </c>
      <c r="C50" s="111" t="str">
        <f>'2DEMOGRAPHICS'!C50</f>
        <v>aaaaa11111aaaaa</v>
      </c>
      <c r="D50" s="112">
        <f>'2DEMOGRAPHICS'!D50</f>
        <v>44105</v>
      </c>
      <c r="E50" s="113">
        <f>'2DEMOGRAPHICS'!E50</f>
        <v>44077</v>
      </c>
      <c r="F50" s="138" t="s">
        <v>104</v>
      </c>
      <c r="G50" s="158">
        <f t="shared" si="1"/>
        <v>44107</v>
      </c>
      <c r="H50" s="129" t="s">
        <v>104</v>
      </c>
      <c r="I50" s="149" t="s">
        <v>104</v>
      </c>
      <c r="J50" s="131" t="s">
        <v>104</v>
      </c>
      <c r="K50" s="150" t="s">
        <v>22</v>
      </c>
      <c r="L50" s="156">
        <f t="shared" si="2"/>
        <v>44137</v>
      </c>
      <c r="M50" s="146" t="s">
        <v>104</v>
      </c>
      <c r="N50" s="147" t="s">
        <v>104</v>
      </c>
      <c r="O50" s="154" t="s">
        <v>104</v>
      </c>
      <c r="P50" s="148" t="s">
        <v>22</v>
      </c>
      <c r="Q50" s="159">
        <f t="shared" si="3"/>
        <v>44167</v>
      </c>
      <c r="R50" s="143" t="s">
        <v>104</v>
      </c>
      <c r="S50" s="144" t="s">
        <v>104</v>
      </c>
      <c r="T50" s="153" t="s">
        <v>104</v>
      </c>
      <c r="U50" s="145" t="s">
        <v>22</v>
      </c>
      <c r="V50" s="160">
        <f t="shared" si="4"/>
        <v>44260</v>
      </c>
      <c r="W50" s="139" t="s">
        <v>104</v>
      </c>
      <c r="X50" s="140" t="s">
        <v>104</v>
      </c>
      <c r="Y50" s="152" t="s">
        <v>104</v>
      </c>
      <c r="Z50" s="141" t="s">
        <v>22</v>
      </c>
      <c r="AA50" s="142" t="s">
        <v>104</v>
      </c>
      <c r="AB50" s="161">
        <f t="shared" si="5"/>
        <v>44442</v>
      </c>
      <c r="AC50" s="129" t="s">
        <v>104</v>
      </c>
      <c r="AD50" s="130" t="s">
        <v>104</v>
      </c>
      <c r="AE50" s="131" t="s">
        <v>104</v>
      </c>
      <c r="AF50" s="132" t="s">
        <v>22</v>
      </c>
      <c r="AG50" s="133">
        <v>44803</v>
      </c>
      <c r="AH50" s="134" t="s">
        <v>104</v>
      </c>
      <c r="AI50" s="135" t="s">
        <v>104</v>
      </c>
      <c r="AJ50" s="136" t="s">
        <v>104</v>
      </c>
      <c r="AK50" s="137" t="s">
        <v>22</v>
      </c>
      <c r="AL50" s="120">
        <f t="shared" si="6"/>
        <v>726</v>
      </c>
      <c r="AM50" s="138" t="s">
        <v>104</v>
      </c>
    </row>
    <row r="51" spans="1:39" ht="39.950000000000003" customHeight="1" x14ac:dyDescent="0.25">
      <c r="A51" s="151">
        <f t="shared" si="0"/>
        <v>39</v>
      </c>
      <c r="B51" s="110">
        <f>'2DEMOGRAPHICS'!B51</f>
        <v>39</v>
      </c>
      <c r="C51" s="111" t="str">
        <f>'2DEMOGRAPHICS'!C51</f>
        <v>aaaaa11111aaaaa</v>
      </c>
      <c r="D51" s="112">
        <f>'2DEMOGRAPHICS'!D51</f>
        <v>44136</v>
      </c>
      <c r="E51" s="113">
        <f>'2DEMOGRAPHICS'!E51</f>
        <v>44137</v>
      </c>
      <c r="F51" s="138" t="s">
        <v>100</v>
      </c>
      <c r="G51" s="158">
        <f t="shared" si="1"/>
        <v>44167</v>
      </c>
      <c r="H51" s="129" t="s">
        <v>100</v>
      </c>
      <c r="I51" s="149" t="s">
        <v>100</v>
      </c>
      <c r="J51" s="131" t="s">
        <v>100</v>
      </c>
      <c r="K51" s="150" t="s">
        <v>22</v>
      </c>
      <c r="L51" s="156">
        <f t="shared" si="2"/>
        <v>44197</v>
      </c>
      <c r="M51" s="146" t="s">
        <v>100</v>
      </c>
      <c r="N51" s="147" t="s">
        <v>100</v>
      </c>
      <c r="O51" s="154" t="s">
        <v>100</v>
      </c>
      <c r="P51" s="148" t="s">
        <v>22</v>
      </c>
      <c r="Q51" s="159">
        <f t="shared" si="3"/>
        <v>44227</v>
      </c>
      <c r="R51" s="143" t="s">
        <v>100</v>
      </c>
      <c r="S51" s="144" t="s">
        <v>100</v>
      </c>
      <c r="T51" s="153" t="s">
        <v>100</v>
      </c>
      <c r="U51" s="145" t="s">
        <v>22</v>
      </c>
      <c r="V51" s="160">
        <f t="shared" si="4"/>
        <v>44320</v>
      </c>
      <c r="W51" s="139" t="s">
        <v>100</v>
      </c>
      <c r="X51" s="140" t="s">
        <v>100</v>
      </c>
      <c r="Y51" s="152" t="s">
        <v>100</v>
      </c>
      <c r="Z51" s="141" t="s">
        <v>22</v>
      </c>
      <c r="AA51" s="142" t="s">
        <v>100</v>
      </c>
      <c r="AB51" s="161">
        <f t="shared" si="5"/>
        <v>44502</v>
      </c>
      <c r="AC51" s="129" t="s">
        <v>100</v>
      </c>
      <c r="AD51" s="130" t="s">
        <v>100</v>
      </c>
      <c r="AE51" s="131" t="s">
        <v>100</v>
      </c>
      <c r="AF51" s="132" t="s">
        <v>22</v>
      </c>
      <c r="AG51" s="133">
        <v>44803</v>
      </c>
      <c r="AH51" s="134" t="s">
        <v>100</v>
      </c>
      <c r="AI51" s="135" t="s">
        <v>100</v>
      </c>
      <c r="AJ51" s="136" t="s">
        <v>100</v>
      </c>
      <c r="AK51" s="137" t="s">
        <v>22</v>
      </c>
      <c r="AL51" s="120">
        <f t="shared" si="6"/>
        <v>666</v>
      </c>
      <c r="AM51" s="138" t="s">
        <v>100</v>
      </c>
    </row>
    <row r="52" spans="1:39" ht="39.950000000000003" customHeight="1" x14ac:dyDescent="0.25">
      <c r="A52" s="151">
        <f t="shared" si="0"/>
        <v>40</v>
      </c>
      <c r="B52" s="110">
        <f>'2DEMOGRAPHICS'!B52</f>
        <v>40</v>
      </c>
      <c r="C52" s="111" t="str">
        <f>'2DEMOGRAPHICS'!C52</f>
        <v>aaaaa11111aaaaa</v>
      </c>
      <c r="D52" s="112">
        <f>'2DEMOGRAPHICS'!D52</f>
        <v>44166</v>
      </c>
      <c r="E52" s="113">
        <f>'2DEMOGRAPHICS'!E52</f>
        <v>44170</v>
      </c>
      <c r="F52" s="138" t="s">
        <v>104</v>
      </c>
      <c r="G52" s="158">
        <f t="shared" si="1"/>
        <v>44200</v>
      </c>
      <c r="H52" s="129" t="s">
        <v>104</v>
      </c>
      <c r="I52" s="149" t="s">
        <v>104</v>
      </c>
      <c r="J52" s="131" t="s">
        <v>104</v>
      </c>
      <c r="K52" s="150" t="s">
        <v>22</v>
      </c>
      <c r="L52" s="156">
        <f t="shared" si="2"/>
        <v>44230</v>
      </c>
      <c r="M52" s="146" t="s">
        <v>104</v>
      </c>
      <c r="N52" s="147" t="s">
        <v>104</v>
      </c>
      <c r="O52" s="154" t="s">
        <v>104</v>
      </c>
      <c r="P52" s="148" t="s">
        <v>22</v>
      </c>
      <c r="Q52" s="159">
        <f t="shared" si="3"/>
        <v>44260</v>
      </c>
      <c r="R52" s="143" t="s">
        <v>104</v>
      </c>
      <c r="S52" s="144" t="s">
        <v>104</v>
      </c>
      <c r="T52" s="153" t="s">
        <v>104</v>
      </c>
      <c r="U52" s="145" t="s">
        <v>22</v>
      </c>
      <c r="V52" s="160">
        <f t="shared" si="4"/>
        <v>44353</v>
      </c>
      <c r="W52" s="139" t="s">
        <v>104</v>
      </c>
      <c r="X52" s="140" t="s">
        <v>104</v>
      </c>
      <c r="Y52" s="152" t="s">
        <v>104</v>
      </c>
      <c r="Z52" s="141" t="s">
        <v>22</v>
      </c>
      <c r="AA52" s="142" t="s">
        <v>104</v>
      </c>
      <c r="AB52" s="161">
        <f t="shared" si="5"/>
        <v>44535</v>
      </c>
      <c r="AC52" s="129" t="s">
        <v>104</v>
      </c>
      <c r="AD52" s="130" t="s">
        <v>104</v>
      </c>
      <c r="AE52" s="131" t="s">
        <v>104</v>
      </c>
      <c r="AF52" s="132" t="s">
        <v>22</v>
      </c>
      <c r="AG52" s="133">
        <v>44803</v>
      </c>
      <c r="AH52" s="134" t="s">
        <v>104</v>
      </c>
      <c r="AI52" s="135" t="s">
        <v>104</v>
      </c>
      <c r="AJ52" s="136" t="s">
        <v>104</v>
      </c>
      <c r="AK52" s="137" t="s">
        <v>22</v>
      </c>
      <c r="AL52" s="120">
        <f t="shared" si="6"/>
        <v>633</v>
      </c>
      <c r="AM52" s="138" t="s">
        <v>104</v>
      </c>
    </row>
    <row r="53" spans="1:39" ht="39.950000000000003" customHeight="1" x14ac:dyDescent="0.25">
      <c r="A53" s="151">
        <f t="shared" si="0"/>
        <v>41</v>
      </c>
      <c r="B53" s="110">
        <f>'2DEMOGRAPHICS'!B53</f>
        <v>41</v>
      </c>
      <c r="C53" s="111" t="str">
        <f>'2DEMOGRAPHICS'!C53</f>
        <v>aaaaa11111aaaaa</v>
      </c>
      <c r="D53" s="112">
        <f>'2DEMOGRAPHICS'!D53</f>
        <v>44197</v>
      </c>
      <c r="E53" s="113">
        <f>'2DEMOGRAPHICS'!E53</f>
        <v>44201</v>
      </c>
      <c r="F53" s="138" t="s">
        <v>100</v>
      </c>
      <c r="G53" s="158">
        <f t="shared" si="1"/>
        <v>44231</v>
      </c>
      <c r="H53" s="129" t="s">
        <v>100</v>
      </c>
      <c r="I53" s="149" t="s">
        <v>100</v>
      </c>
      <c r="J53" s="131" t="s">
        <v>100</v>
      </c>
      <c r="K53" s="150" t="s">
        <v>22</v>
      </c>
      <c r="L53" s="156">
        <f t="shared" si="2"/>
        <v>44261</v>
      </c>
      <c r="M53" s="146" t="s">
        <v>100</v>
      </c>
      <c r="N53" s="147" t="s">
        <v>100</v>
      </c>
      <c r="O53" s="154" t="s">
        <v>100</v>
      </c>
      <c r="P53" s="148" t="s">
        <v>22</v>
      </c>
      <c r="Q53" s="159">
        <f t="shared" si="3"/>
        <v>44291</v>
      </c>
      <c r="R53" s="143" t="s">
        <v>100</v>
      </c>
      <c r="S53" s="144" t="s">
        <v>100</v>
      </c>
      <c r="T53" s="153" t="s">
        <v>100</v>
      </c>
      <c r="U53" s="145" t="s">
        <v>22</v>
      </c>
      <c r="V53" s="160">
        <f t="shared" si="4"/>
        <v>44384</v>
      </c>
      <c r="W53" s="139" t="s">
        <v>100</v>
      </c>
      <c r="X53" s="140" t="s">
        <v>100</v>
      </c>
      <c r="Y53" s="152" t="s">
        <v>100</v>
      </c>
      <c r="Z53" s="141" t="s">
        <v>22</v>
      </c>
      <c r="AA53" s="142" t="s">
        <v>100</v>
      </c>
      <c r="AB53" s="161">
        <f t="shared" si="5"/>
        <v>44566</v>
      </c>
      <c r="AC53" s="129" t="s">
        <v>100</v>
      </c>
      <c r="AD53" s="130" t="s">
        <v>100</v>
      </c>
      <c r="AE53" s="131" t="s">
        <v>100</v>
      </c>
      <c r="AF53" s="132" t="s">
        <v>22</v>
      </c>
      <c r="AG53" s="133">
        <v>44803</v>
      </c>
      <c r="AH53" s="134" t="s">
        <v>100</v>
      </c>
      <c r="AI53" s="135" t="s">
        <v>100</v>
      </c>
      <c r="AJ53" s="136" t="s">
        <v>100</v>
      </c>
      <c r="AK53" s="137" t="s">
        <v>22</v>
      </c>
      <c r="AL53" s="120">
        <f t="shared" si="6"/>
        <v>602</v>
      </c>
      <c r="AM53" s="138" t="s">
        <v>100</v>
      </c>
    </row>
    <row r="54" spans="1:39" ht="39.950000000000003" customHeight="1" x14ac:dyDescent="0.25">
      <c r="A54" s="151">
        <f t="shared" si="0"/>
        <v>42</v>
      </c>
      <c r="B54" s="110">
        <f>'2DEMOGRAPHICS'!B54</f>
        <v>42</v>
      </c>
      <c r="C54" s="111" t="str">
        <f>'2DEMOGRAPHICS'!C54</f>
        <v>aaaaa11111aaaaa</v>
      </c>
      <c r="D54" s="112">
        <f>'2DEMOGRAPHICS'!D54</f>
        <v>44228</v>
      </c>
      <c r="E54" s="113">
        <f>'2DEMOGRAPHICS'!E54</f>
        <v>44230</v>
      </c>
      <c r="F54" s="138" t="s">
        <v>104</v>
      </c>
      <c r="G54" s="158">
        <f t="shared" si="1"/>
        <v>44260</v>
      </c>
      <c r="H54" s="129" t="s">
        <v>104</v>
      </c>
      <c r="I54" s="149" t="s">
        <v>104</v>
      </c>
      <c r="J54" s="131" t="s">
        <v>104</v>
      </c>
      <c r="K54" s="150" t="s">
        <v>22</v>
      </c>
      <c r="L54" s="156">
        <f t="shared" si="2"/>
        <v>44290</v>
      </c>
      <c r="M54" s="146" t="s">
        <v>104</v>
      </c>
      <c r="N54" s="147" t="s">
        <v>104</v>
      </c>
      <c r="O54" s="154" t="s">
        <v>104</v>
      </c>
      <c r="P54" s="148" t="s">
        <v>22</v>
      </c>
      <c r="Q54" s="159">
        <f t="shared" si="3"/>
        <v>44320</v>
      </c>
      <c r="R54" s="143" t="s">
        <v>104</v>
      </c>
      <c r="S54" s="144" t="s">
        <v>104</v>
      </c>
      <c r="T54" s="153" t="s">
        <v>104</v>
      </c>
      <c r="U54" s="145" t="s">
        <v>22</v>
      </c>
      <c r="V54" s="160">
        <f t="shared" si="4"/>
        <v>44413</v>
      </c>
      <c r="W54" s="139" t="s">
        <v>104</v>
      </c>
      <c r="X54" s="140" t="s">
        <v>104</v>
      </c>
      <c r="Y54" s="152" t="s">
        <v>104</v>
      </c>
      <c r="Z54" s="141" t="s">
        <v>22</v>
      </c>
      <c r="AA54" s="142" t="s">
        <v>104</v>
      </c>
      <c r="AB54" s="161">
        <f t="shared" si="5"/>
        <v>44595</v>
      </c>
      <c r="AC54" s="129" t="s">
        <v>104</v>
      </c>
      <c r="AD54" s="130" t="s">
        <v>104</v>
      </c>
      <c r="AE54" s="131" t="s">
        <v>104</v>
      </c>
      <c r="AF54" s="132" t="s">
        <v>22</v>
      </c>
      <c r="AG54" s="133">
        <v>44803</v>
      </c>
      <c r="AH54" s="134" t="s">
        <v>104</v>
      </c>
      <c r="AI54" s="135" t="s">
        <v>104</v>
      </c>
      <c r="AJ54" s="136" t="s">
        <v>104</v>
      </c>
      <c r="AK54" s="137" t="s">
        <v>22</v>
      </c>
      <c r="AL54" s="120">
        <f t="shared" si="6"/>
        <v>573</v>
      </c>
      <c r="AM54" s="138" t="s">
        <v>104</v>
      </c>
    </row>
    <row r="55" spans="1:39" ht="39.950000000000003" customHeight="1" x14ac:dyDescent="0.25">
      <c r="A55" s="151">
        <f t="shared" si="0"/>
        <v>43</v>
      </c>
      <c r="B55" s="110">
        <f>'2DEMOGRAPHICS'!B55</f>
        <v>43</v>
      </c>
      <c r="C55" s="111" t="str">
        <f>'2DEMOGRAPHICS'!C55</f>
        <v>aaaaa11111aaaaa</v>
      </c>
      <c r="D55" s="112">
        <f>'2DEMOGRAPHICS'!D55</f>
        <v>44256</v>
      </c>
      <c r="E55" s="113">
        <f>'2DEMOGRAPHICS'!E55</f>
        <v>44259</v>
      </c>
      <c r="F55" s="138" t="s">
        <v>100</v>
      </c>
      <c r="G55" s="158">
        <f t="shared" si="1"/>
        <v>44289</v>
      </c>
      <c r="H55" s="129" t="s">
        <v>100</v>
      </c>
      <c r="I55" s="149" t="s">
        <v>100</v>
      </c>
      <c r="J55" s="131" t="s">
        <v>100</v>
      </c>
      <c r="K55" s="150" t="s">
        <v>22</v>
      </c>
      <c r="L55" s="156">
        <f t="shared" si="2"/>
        <v>44319</v>
      </c>
      <c r="M55" s="146" t="s">
        <v>100</v>
      </c>
      <c r="N55" s="147" t="s">
        <v>100</v>
      </c>
      <c r="O55" s="154" t="s">
        <v>100</v>
      </c>
      <c r="P55" s="148" t="s">
        <v>22</v>
      </c>
      <c r="Q55" s="159">
        <f t="shared" si="3"/>
        <v>44349</v>
      </c>
      <c r="R55" s="143" t="s">
        <v>100</v>
      </c>
      <c r="S55" s="144" t="s">
        <v>100</v>
      </c>
      <c r="T55" s="153" t="s">
        <v>100</v>
      </c>
      <c r="U55" s="145" t="s">
        <v>22</v>
      </c>
      <c r="V55" s="160">
        <f t="shared" si="4"/>
        <v>44442</v>
      </c>
      <c r="W55" s="139" t="s">
        <v>100</v>
      </c>
      <c r="X55" s="140" t="s">
        <v>100</v>
      </c>
      <c r="Y55" s="152" t="s">
        <v>100</v>
      </c>
      <c r="Z55" s="141" t="s">
        <v>22</v>
      </c>
      <c r="AA55" s="142" t="s">
        <v>100</v>
      </c>
      <c r="AB55" s="161">
        <f t="shared" si="5"/>
        <v>44624</v>
      </c>
      <c r="AC55" s="129" t="s">
        <v>100</v>
      </c>
      <c r="AD55" s="130" t="s">
        <v>100</v>
      </c>
      <c r="AE55" s="131" t="s">
        <v>100</v>
      </c>
      <c r="AF55" s="132" t="s">
        <v>22</v>
      </c>
      <c r="AG55" s="133">
        <v>44803</v>
      </c>
      <c r="AH55" s="134" t="s">
        <v>100</v>
      </c>
      <c r="AI55" s="135" t="s">
        <v>100</v>
      </c>
      <c r="AJ55" s="136" t="s">
        <v>100</v>
      </c>
      <c r="AK55" s="137" t="s">
        <v>22</v>
      </c>
      <c r="AL55" s="120">
        <f t="shared" si="6"/>
        <v>544</v>
      </c>
      <c r="AM55" s="138" t="s">
        <v>100</v>
      </c>
    </row>
    <row r="56" spans="1:39" ht="39.950000000000003" customHeight="1" x14ac:dyDescent="0.25">
      <c r="A56" s="151">
        <f t="shared" si="0"/>
        <v>44</v>
      </c>
      <c r="B56" s="110">
        <f>'2DEMOGRAPHICS'!B56</f>
        <v>44</v>
      </c>
      <c r="C56" s="111" t="str">
        <f>'2DEMOGRAPHICS'!C56</f>
        <v>aaaaa11111aaaaa</v>
      </c>
      <c r="D56" s="112">
        <f>'2DEMOGRAPHICS'!D56</f>
        <v>44287</v>
      </c>
      <c r="E56" s="113">
        <f>'2DEMOGRAPHICS'!E56</f>
        <v>44291</v>
      </c>
      <c r="F56" s="138" t="s">
        <v>104</v>
      </c>
      <c r="G56" s="158">
        <f t="shared" si="1"/>
        <v>44321</v>
      </c>
      <c r="H56" s="129" t="s">
        <v>104</v>
      </c>
      <c r="I56" s="149" t="s">
        <v>104</v>
      </c>
      <c r="J56" s="131" t="s">
        <v>104</v>
      </c>
      <c r="K56" s="150" t="s">
        <v>22</v>
      </c>
      <c r="L56" s="156">
        <f t="shared" si="2"/>
        <v>44351</v>
      </c>
      <c r="M56" s="146" t="s">
        <v>104</v>
      </c>
      <c r="N56" s="147" t="s">
        <v>104</v>
      </c>
      <c r="O56" s="154" t="s">
        <v>104</v>
      </c>
      <c r="P56" s="148" t="s">
        <v>22</v>
      </c>
      <c r="Q56" s="159">
        <f t="shared" si="3"/>
        <v>44381</v>
      </c>
      <c r="R56" s="143" t="s">
        <v>104</v>
      </c>
      <c r="S56" s="144" t="s">
        <v>104</v>
      </c>
      <c r="T56" s="153" t="s">
        <v>104</v>
      </c>
      <c r="U56" s="145" t="s">
        <v>22</v>
      </c>
      <c r="V56" s="160">
        <f t="shared" si="4"/>
        <v>44474</v>
      </c>
      <c r="W56" s="139" t="s">
        <v>104</v>
      </c>
      <c r="X56" s="140" t="s">
        <v>104</v>
      </c>
      <c r="Y56" s="152" t="s">
        <v>104</v>
      </c>
      <c r="Z56" s="141" t="s">
        <v>22</v>
      </c>
      <c r="AA56" s="142" t="s">
        <v>104</v>
      </c>
      <c r="AB56" s="161">
        <f t="shared" si="5"/>
        <v>44656</v>
      </c>
      <c r="AC56" s="129" t="s">
        <v>104</v>
      </c>
      <c r="AD56" s="130" t="s">
        <v>104</v>
      </c>
      <c r="AE56" s="131" t="s">
        <v>104</v>
      </c>
      <c r="AF56" s="132" t="s">
        <v>22</v>
      </c>
      <c r="AG56" s="133">
        <v>44803</v>
      </c>
      <c r="AH56" s="134" t="s">
        <v>104</v>
      </c>
      <c r="AI56" s="135" t="s">
        <v>104</v>
      </c>
      <c r="AJ56" s="136" t="s">
        <v>104</v>
      </c>
      <c r="AK56" s="137" t="s">
        <v>22</v>
      </c>
      <c r="AL56" s="120">
        <f t="shared" si="6"/>
        <v>512</v>
      </c>
      <c r="AM56" s="138" t="s">
        <v>104</v>
      </c>
    </row>
    <row r="57" spans="1:39" ht="39.950000000000003" customHeight="1" x14ac:dyDescent="0.25">
      <c r="A57" s="151">
        <f t="shared" si="0"/>
        <v>45</v>
      </c>
      <c r="B57" s="110">
        <f>'2DEMOGRAPHICS'!B57</f>
        <v>45</v>
      </c>
      <c r="C57" s="111" t="str">
        <f>'2DEMOGRAPHICS'!C57</f>
        <v>aaaaa11111aaaaa</v>
      </c>
      <c r="D57" s="112">
        <f>'2DEMOGRAPHICS'!D57</f>
        <v>44317</v>
      </c>
      <c r="E57" s="113">
        <f>'2DEMOGRAPHICS'!E57</f>
        <v>44319</v>
      </c>
      <c r="F57" s="138" t="s">
        <v>100</v>
      </c>
      <c r="G57" s="158">
        <f t="shared" si="1"/>
        <v>44349</v>
      </c>
      <c r="H57" s="129" t="s">
        <v>100</v>
      </c>
      <c r="I57" s="149" t="s">
        <v>100</v>
      </c>
      <c r="J57" s="131" t="s">
        <v>100</v>
      </c>
      <c r="K57" s="150" t="s">
        <v>22</v>
      </c>
      <c r="L57" s="156">
        <f t="shared" si="2"/>
        <v>44379</v>
      </c>
      <c r="M57" s="146" t="s">
        <v>100</v>
      </c>
      <c r="N57" s="147" t="s">
        <v>100</v>
      </c>
      <c r="O57" s="154" t="s">
        <v>100</v>
      </c>
      <c r="P57" s="148" t="s">
        <v>22</v>
      </c>
      <c r="Q57" s="159">
        <f t="shared" si="3"/>
        <v>44409</v>
      </c>
      <c r="R57" s="143" t="s">
        <v>100</v>
      </c>
      <c r="S57" s="144" t="s">
        <v>100</v>
      </c>
      <c r="T57" s="153" t="s">
        <v>100</v>
      </c>
      <c r="U57" s="145" t="s">
        <v>22</v>
      </c>
      <c r="V57" s="160">
        <f t="shared" si="4"/>
        <v>44502</v>
      </c>
      <c r="W57" s="139" t="s">
        <v>100</v>
      </c>
      <c r="X57" s="140" t="s">
        <v>100</v>
      </c>
      <c r="Y57" s="152" t="s">
        <v>100</v>
      </c>
      <c r="Z57" s="141" t="s">
        <v>22</v>
      </c>
      <c r="AA57" s="142" t="s">
        <v>100</v>
      </c>
      <c r="AB57" s="161">
        <f t="shared" si="5"/>
        <v>44684</v>
      </c>
      <c r="AC57" s="129" t="s">
        <v>100</v>
      </c>
      <c r="AD57" s="130" t="s">
        <v>100</v>
      </c>
      <c r="AE57" s="131" t="s">
        <v>100</v>
      </c>
      <c r="AF57" s="132" t="s">
        <v>22</v>
      </c>
      <c r="AG57" s="133">
        <v>44803</v>
      </c>
      <c r="AH57" s="134" t="s">
        <v>100</v>
      </c>
      <c r="AI57" s="135" t="s">
        <v>100</v>
      </c>
      <c r="AJ57" s="136" t="s">
        <v>100</v>
      </c>
      <c r="AK57" s="137" t="s">
        <v>22</v>
      </c>
      <c r="AL57" s="120">
        <f t="shared" si="6"/>
        <v>484</v>
      </c>
      <c r="AM57" s="138" t="s">
        <v>100</v>
      </c>
    </row>
    <row r="58" spans="1:39" ht="39.950000000000003" customHeight="1" x14ac:dyDescent="0.25">
      <c r="A58" s="151">
        <f t="shared" si="0"/>
        <v>46</v>
      </c>
      <c r="B58" s="110">
        <f>'2DEMOGRAPHICS'!B58</f>
        <v>46</v>
      </c>
      <c r="C58" s="111" t="str">
        <f>'2DEMOGRAPHICS'!C58</f>
        <v>aaaaa11111aaaaa</v>
      </c>
      <c r="D58" s="112">
        <f>'2DEMOGRAPHICS'!D58</f>
        <v>44348</v>
      </c>
      <c r="E58" s="113">
        <f>'2DEMOGRAPHICS'!E58</f>
        <v>44351</v>
      </c>
      <c r="F58" s="138" t="s">
        <v>104</v>
      </c>
      <c r="G58" s="158">
        <f t="shared" si="1"/>
        <v>44381</v>
      </c>
      <c r="H58" s="129" t="s">
        <v>104</v>
      </c>
      <c r="I58" s="149" t="s">
        <v>104</v>
      </c>
      <c r="J58" s="131" t="s">
        <v>104</v>
      </c>
      <c r="K58" s="150" t="s">
        <v>22</v>
      </c>
      <c r="L58" s="156">
        <f t="shared" si="2"/>
        <v>44411</v>
      </c>
      <c r="M58" s="146" t="s">
        <v>104</v>
      </c>
      <c r="N58" s="147" t="s">
        <v>104</v>
      </c>
      <c r="O58" s="154" t="s">
        <v>104</v>
      </c>
      <c r="P58" s="148" t="s">
        <v>22</v>
      </c>
      <c r="Q58" s="159">
        <f t="shared" si="3"/>
        <v>44441</v>
      </c>
      <c r="R58" s="143" t="s">
        <v>104</v>
      </c>
      <c r="S58" s="144" t="s">
        <v>104</v>
      </c>
      <c r="T58" s="153" t="s">
        <v>104</v>
      </c>
      <c r="U58" s="145" t="s">
        <v>22</v>
      </c>
      <c r="V58" s="160">
        <f t="shared" si="4"/>
        <v>44534</v>
      </c>
      <c r="W58" s="139" t="s">
        <v>104</v>
      </c>
      <c r="X58" s="140" t="s">
        <v>104</v>
      </c>
      <c r="Y58" s="152" t="s">
        <v>104</v>
      </c>
      <c r="Z58" s="141" t="s">
        <v>22</v>
      </c>
      <c r="AA58" s="142" t="s">
        <v>104</v>
      </c>
      <c r="AB58" s="161">
        <f t="shared" si="5"/>
        <v>44716</v>
      </c>
      <c r="AC58" s="129" t="s">
        <v>104</v>
      </c>
      <c r="AD58" s="130" t="s">
        <v>104</v>
      </c>
      <c r="AE58" s="131" t="s">
        <v>104</v>
      </c>
      <c r="AF58" s="132" t="s">
        <v>22</v>
      </c>
      <c r="AG58" s="133">
        <v>44803</v>
      </c>
      <c r="AH58" s="134" t="s">
        <v>104</v>
      </c>
      <c r="AI58" s="135" t="s">
        <v>104</v>
      </c>
      <c r="AJ58" s="136" t="s">
        <v>104</v>
      </c>
      <c r="AK58" s="137" t="s">
        <v>22</v>
      </c>
      <c r="AL58" s="120">
        <f t="shared" si="6"/>
        <v>452</v>
      </c>
      <c r="AM58" s="138" t="s">
        <v>104</v>
      </c>
    </row>
    <row r="59" spans="1:39" ht="39.950000000000003" customHeight="1" x14ac:dyDescent="0.25">
      <c r="A59" s="151">
        <f t="shared" si="0"/>
        <v>47</v>
      </c>
      <c r="B59" s="110">
        <f>'2DEMOGRAPHICS'!B59</f>
        <v>47</v>
      </c>
      <c r="C59" s="111" t="str">
        <f>'2DEMOGRAPHICS'!C59</f>
        <v>aaaaa11111aaaaa</v>
      </c>
      <c r="D59" s="112">
        <f>'2DEMOGRAPHICS'!D59</f>
        <v>44378</v>
      </c>
      <c r="E59" s="113">
        <f>'2DEMOGRAPHICS'!E59</f>
        <v>44379</v>
      </c>
      <c r="F59" s="138" t="s">
        <v>100</v>
      </c>
      <c r="G59" s="158">
        <f t="shared" si="1"/>
        <v>44409</v>
      </c>
      <c r="H59" s="129" t="s">
        <v>100</v>
      </c>
      <c r="I59" s="149" t="s">
        <v>100</v>
      </c>
      <c r="J59" s="131" t="s">
        <v>100</v>
      </c>
      <c r="K59" s="150" t="s">
        <v>22</v>
      </c>
      <c r="L59" s="156">
        <f t="shared" si="2"/>
        <v>44439</v>
      </c>
      <c r="M59" s="146" t="s">
        <v>100</v>
      </c>
      <c r="N59" s="147" t="s">
        <v>100</v>
      </c>
      <c r="O59" s="154" t="s">
        <v>100</v>
      </c>
      <c r="P59" s="148" t="s">
        <v>22</v>
      </c>
      <c r="Q59" s="159">
        <f t="shared" si="3"/>
        <v>44469</v>
      </c>
      <c r="R59" s="143" t="s">
        <v>100</v>
      </c>
      <c r="S59" s="144" t="s">
        <v>100</v>
      </c>
      <c r="T59" s="153" t="s">
        <v>100</v>
      </c>
      <c r="U59" s="145" t="s">
        <v>22</v>
      </c>
      <c r="V59" s="160">
        <f t="shared" si="4"/>
        <v>44562</v>
      </c>
      <c r="W59" s="139" t="s">
        <v>100</v>
      </c>
      <c r="X59" s="140" t="s">
        <v>100</v>
      </c>
      <c r="Y59" s="152" t="s">
        <v>100</v>
      </c>
      <c r="Z59" s="141" t="s">
        <v>22</v>
      </c>
      <c r="AA59" s="142" t="s">
        <v>100</v>
      </c>
      <c r="AB59" s="161">
        <f t="shared" si="5"/>
        <v>44744</v>
      </c>
      <c r="AC59" s="129" t="s">
        <v>100</v>
      </c>
      <c r="AD59" s="130" t="s">
        <v>100</v>
      </c>
      <c r="AE59" s="131" t="s">
        <v>100</v>
      </c>
      <c r="AF59" s="132" t="s">
        <v>22</v>
      </c>
      <c r="AG59" s="133">
        <v>44803</v>
      </c>
      <c r="AH59" s="134" t="s">
        <v>100</v>
      </c>
      <c r="AI59" s="135" t="s">
        <v>100</v>
      </c>
      <c r="AJ59" s="136" t="s">
        <v>100</v>
      </c>
      <c r="AK59" s="137" t="s">
        <v>22</v>
      </c>
      <c r="AL59" s="120">
        <f t="shared" si="6"/>
        <v>424</v>
      </c>
      <c r="AM59" s="138" t="s">
        <v>100</v>
      </c>
    </row>
    <row r="60" spans="1:39" ht="39.950000000000003" customHeight="1" x14ac:dyDescent="0.25">
      <c r="A60" s="151">
        <f t="shared" si="0"/>
        <v>48</v>
      </c>
      <c r="B60" s="110">
        <f>'2DEMOGRAPHICS'!B60</f>
        <v>48</v>
      </c>
      <c r="C60" s="111" t="str">
        <f>'2DEMOGRAPHICS'!C60</f>
        <v>aaaaa11111aaaaa</v>
      </c>
      <c r="D60" s="112">
        <f>'2DEMOGRAPHICS'!D60</f>
        <v>44409</v>
      </c>
      <c r="E60" s="113">
        <f>'2DEMOGRAPHICS'!E60</f>
        <v>44412</v>
      </c>
      <c r="F60" s="138" t="s">
        <v>104</v>
      </c>
      <c r="G60" s="158">
        <f t="shared" si="1"/>
        <v>44442</v>
      </c>
      <c r="H60" s="129" t="s">
        <v>104</v>
      </c>
      <c r="I60" s="149" t="s">
        <v>104</v>
      </c>
      <c r="J60" s="131" t="s">
        <v>104</v>
      </c>
      <c r="K60" s="150" t="s">
        <v>22</v>
      </c>
      <c r="L60" s="156">
        <f t="shared" si="2"/>
        <v>44472</v>
      </c>
      <c r="M60" s="146" t="s">
        <v>104</v>
      </c>
      <c r="N60" s="147" t="s">
        <v>104</v>
      </c>
      <c r="O60" s="154" t="s">
        <v>104</v>
      </c>
      <c r="P60" s="148" t="s">
        <v>22</v>
      </c>
      <c r="Q60" s="159">
        <f t="shared" si="3"/>
        <v>44502</v>
      </c>
      <c r="R60" s="143" t="s">
        <v>104</v>
      </c>
      <c r="S60" s="144" t="s">
        <v>104</v>
      </c>
      <c r="T60" s="153" t="s">
        <v>104</v>
      </c>
      <c r="U60" s="145" t="s">
        <v>22</v>
      </c>
      <c r="V60" s="160">
        <f t="shared" si="4"/>
        <v>44595</v>
      </c>
      <c r="W60" s="139" t="s">
        <v>104</v>
      </c>
      <c r="X60" s="140" t="s">
        <v>104</v>
      </c>
      <c r="Y60" s="152" t="s">
        <v>104</v>
      </c>
      <c r="Z60" s="141" t="s">
        <v>22</v>
      </c>
      <c r="AA60" s="142" t="s">
        <v>104</v>
      </c>
      <c r="AB60" s="161">
        <f t="shared" si="5"/>
        <v>44777</v>
      </c>
      <c r="AC60" s="129" t="s">
        <v>104</v>
      </c>
      <c r="AD60" s="130" t="s">
        <v>104</v>
      </c>
      <c r="AE60" s="131" t="s">
        <v>104</v>
      </c>
      <c r="AF60" s="132" t="s">
        <v>22</v>
      </c>
      <c r="AG60" s="133">
        <v>44803</v>
      </c>
      <c r="AH60" s="134" t="s">
        <v>104</v>
      </c>
      <c r="AI60" s="135" t="s">
        <v>104</v>
      </c>
      <c r="AJ60" s="136" t="s">
        <v>104</v>
      </c>
      <c r="AK60" s="137" t="s">
        <v>22</v>
      </c>
      <c r="AL60" s="120">
        <f t="shared" si="6"/>
        <v>391</v>
      </c>
      <c r="AM60" s="138" t="s">
        <v>104</v>
      </c>
    </row>
    <row r="61" spans="1:39" ht="39.950000000000003" customHeight="1" x14ac:dyDescent="0.25">
      <c r="A61" s="151">
        <f t="shared" si="0"/>
        <v>49</v>
      </c>
      <c r="B61" s="110">
        <f>'2DEMOGRAPHICS'!B61</f>
        <v>49</v>
      </c>
      <c r="C61" s="111" t="str">
        <f>'2DEMOGRAPHICS'!C61</f>
        <v>aaaaa11111aaaaa</v>
      </c>
      <c r="D61" s="112">
        <f>'2DEMOGRAPHICS'!D61</f>
        <v>44075</v>
      </c>
      <c r="E61" s="113">
        <f>'2DEMOGRAPHICS'!E61</f>
        <v>44076</v>
      </c>
      <c r="F61" s="138" t="s">
        <v>100</v>
      </c>
      <c r="G61" s="158">
        <f t="shared" si="1"/>
        <v>44106</v>
      </c>
      <c r="H61" s="129" t="s">
        <v>100</v>
      </c>
      <c r="I61" s="149" t="s">
        <v>100</v>
      </c>
      <c r="J61" s="131" t="s">
        <v>100</v>
      </c>
      <c r="K61" s="150" t="s">
        <v>22</v>
      </c>
      <c r="L61" s="156">
        <f t="shared" si="2"/>
        <v>44136</v>
      </c>
      <c r="M61" s="146" t="s">
        <v>100</v>
      </c>
      <c r="N61" s="147" t="s">
        <v>100</v>
      </c>
      <c r="O61" s="154" t="s">
        <v>100</v>
      </c>
      <c r="P61" s="148" t="s">
        <v>22</v>
      </c>
      <c r="Q61" s="159">
        <f t="shared" si="3"/>
        <v>44166</v>
      </c>
      <c r="R61" s="143" t="s">
        <v>100</v>
      </c>
      <c r="S61" s="144" t="s">
        <v>100</v>
      </c>
      <c r="T61" s="153" t="s">
        <v>100</v>
      </c>
      <c r="U61" s="145" t="s">
        <v>22</v>
      </c>
      <c r="V61" s="160">
        <f t="shared" si="4"/>
        <v>44259</v>
      </c>
      <c r="W61" s="139" t="s">
        <v>100</v>
      </c>
      <c r="X61" s="140" t="s">
        <v>100</v>
      </c>
      <c r="Y61" s="152" t="s">
        <v>100</v>
      </c>
      <c r="Z61" s="141" t="s">
        <v>22</v>
      </c>
      <c r="AA61" s="142" t="s">
        <v>100</v>
      </c>
      <c r="AB61" s="161">
        <f t="shared" si="5"/>
        <v>44441</v>
      </c>
      <c r="AC61" s="129" t="s">
        <v>100</v>
      </c>
      <c r="AD61" s="130" t="s">
        <v>100</v>
      </c>
      <c r="AE61" s="131" t="s">
        <v>100</v>
      </c>
      <c r="AF61" s="132" t="s">
        <v>22</v>
      </c>
      <c r="AG61" s="133">
        <v>44803</v>
      </c>
      <c r="AH61" s="134" t="s">
        <v>100</v>
      </c>
      <c r="AI61" s="135" t="s">
        <v>100</v>
      </c>
      <c r="AJ61" s="136" t="s">
        <v>100</v>
      </c>
      <c r="AK61" s="137" t="s">
        <v>22</v>
      </c>
      <c r="AL61" s="120">
        <f t="shared" si="6"/>
        <v>727</v>
      </c>
      <c r="AM61" s="138" t="s">
        <v>100</v>
      </c>
    </row>
    <row r="62" spans="1:39" ht="39.950000000000003" customHeight="1" x14ac:dyDescent="0.25">
      <c r="A62" s="151">
        <f t="shared" si="0"/>
        <v>50</v>
      </c>
      <c r="B62" s="110">
        <f>'2DEMOGRAPHICS'!B62</f>
        <v>50</v>
      </c>
      <c r="C62" s="111" t="str">
        <f>'2DEMOGRAPHICS'!C62</f>
        <v>aaaaa11111aaaaa</v>
      </c>
      <c r="D62" s="112">
        <f>'2DEMOGRAPHICS'!D62</f>
        <v>44105</v>
      </c>
      <c r="E62" s="113">
        <f>'2DEMOGRAPHICS'!E62</f>
        <v>44139</v>
      </c>
      <c r="F62" s="138" t="s">
        <v>104</v>
      </c>
      <c r="G62" s="158">
        <f t="shared" si="1"/>
        <v>44169</v>
      </c>
      <c r="H62" s="129" t="s">
        <v>104</v>
      </c>
      <c r="I62" s="149" t="s">
        <v>104</v>
      </c>
      <c r="J62" s="131" t="s">
        <v>104</v>
      </c>
      <c r="K62" s="150" t="s">
        <v>22</v>
      </c>
      <c r="L62" s="156">
        <f t="shared" si="2"/>
        <v>44199</v>
      </c>
      <c r="M62" s="146" t="s">
        <v>104</v>
      </c>
      <c r="N62" s="147" t="s">
        <v>104</v>
      </c>
      <c r="O62" s="154" t="s">
        <v>104</v>
      </c>
      <c r="P62" s="148" t="s">
        <v>22</v>
      </c>
      <c r="Q62" s="159">
        <f t="shared" si="3"/>
        <v>44229</v>
      </c>
      <c r="R62" s="143" t="s">
        <v>104</v>
      </c>
      <c r="S62" s="144" t="s">
        <v>104</v>
      </c>
      <c r="T62" s="153" t="s">
        <v>104</v>
      </c>
      <c r="U62" s="145" t="s">
        <v>22</v>
      </c>
      <c r="V62" s="160">
        <f t="shared" si="4"/>
        <v>44322</v>
      </c>
      <c r="W62" s="139" t="s">
        <v>104</v>
      </c>
      <c r="X62" s="140" t="s">
        <v>104</v>
      </c>
      <c r="Y62" s="152" t="s">
        <v>104</v>
      </c>
      <c r="Z62" s="141" t="s">
        <v>22</v>
      </c>
      <c r="AA62" s="142" t="s">
        <v>104</v>
      </c>
      <c r="AB62" s="161">
        <f t="shared" si="5"/>
        <v>44504</v>
      </c>
      <c r="AC62" s="129" t="s">
        <v>104</v>
      </c>
      <c r="AD62" s="130" t="s">
        <v>104</v>
      </c>
      <c r="AE62" s="131" t="s">
        <v>104</v>
      </c>
      <c r="AF62" s="132" t="s">
        <v>22</v>
      </c>
      <c r="AG62" s="133">
        <v>44803</v>
      </c>
      <c r="AH62" s="134" t="s">
        <v>104</v>
      </c>
      <c r="AI62" s="135" t="s">
        <v>104</v>
      </c>
      <c r="AJ62" s="136" t="s">
        <v>104</v>
      </c>
      <c r="AK62" s="137" t="s">
        <v>22</v>
      </c>
      <c r="AL62" s="120">
        <f t="shared" si="6"/>
        <v>664</v>
      </c>
      <c r="AM62" s="138" t="s">
        <v>104</v>
      </c>
    </row>
    <row r="63" spans="1:39" x14ac:dyDescent="0.25">
      <c r="A63" s="10"/>
    </row>
    <row r="64" spans="1:39" x14ac:dyDescent="0.25">
      <c r="A64" s="10"/>
    </row>
    <row r="65" spans="1:1" x14ac:dyDescent="0.25">
      <c r="A65" s="10"/>
    </row>
    <row r="66" spans="1:1" x14ac:dyDescent="0.25">
      <c r="A66" s="10"/>
    </row>
    <row r="67" spans="1:1" x14ac:dyDescent="0.25">
      <c r="A67" s="10"/>
    </row>
    <row r="68" spans="1:1" x14ac:dyDescent="0.25">
      <c r="A68" s="10"/>
    </row>
    <row r="69" spans="1:1" x14ac:dyDescent="0.25">
      <c r="A69" s="10"/>
    </row>
  </sheetData>
  <dataConsolidate/>
  <mergeCells count="24">
    <mergeCell ref="A6:D6"/>
    <mergeCell ref="E6:H6"/>
    <mergeCell ref="I6:K6"/>
    <mergeCell ref="L6:N6"/>
    <mergeCell ref="A2:N2"/>
    <mergeCell ref="A3:N3"/>
    <mergeCell ref="A4:N4"/>
    <mergeCell ref="A5:N5"/>
    <mergeCell ref="A11:N11"/>
    <mergeCell ref="E8:H9"/>
    <mergeCell ref="A7:D7"/>
    <mergeCell ref="A8:D9"/>
    <mergeCell ref="E7:H7"/>
    <mergeCell ref="G10:H10"/>
    <mergeCell ref="A10:D10"/>
    <mergeCell ref="E10:F10"/>
    <mergeCell ref="I7:K7"/>
    <mergeCell ref="I8:K8"/>
    <mergeCell ref="I9:K9"/>
    <mergeCell ref="I10:K10"/>
    <mergeCell ref="L7:N7"/>
    <mergeCell ref="L8:N8"/>
    <mergeCell ref="L9:N9"/>
    <mergeCell ref="L10:N10"/>
  </mergeCells>
  <dataValidations count="9">
    <dataValidation allowBlank="1" showInputMessage="1" showErrorMessage="1" prompt="date will auto populate" sqref="G13:G62 L13:L62 Q13:Q62 V13:V62 AB13:AB62" xr:uid="{30FDAD6F-1110-4615-B093-36DCD5A0FEAB}"/>
    <dataValidation allowBlank="1" showInputMessage="1" showErrorMessage="1" prompt="Data will auto populate" sqref="B13:C62" xr:uid="{FC58F631-3D40-4158-A349-9F75FF477599}"/>
    <dataValidation allowBlank="1" showInputMessage="1" showErrorMessage="1" prompt="Date will auto populate" sqref="D13:E62" xr:uid="{D56FAB5F-09D0-4D06-B08D-41D1B7E66272}"/>
    <dataValidation allowBlank="1" showInputMessage="1" showErrorMessage="1" prompt="Note Section for Column J" sqref="K12:K62" xr:uid="{019AA042-4FB1-4D17-8D0C-D9BAD7FAC392}"/>
    <dataValidation allowBlank="1" showInputMessage="1" showErrorMessage="1" prompt="Note Section for Column O " sqref="P13:P62" xr:uid="{1A49BE90-2152-4A69-B73A-2E61D04FD6C2}"/>
    <dataValidation allowBlank="1" showInputMessage="1" showErrorMessage="1" prompt="Note Section for Column T " sqref="U13:U62" xr:uid="{E96A1004-EEC6-41F3-84DE-A196D0AA0538}"/>
    <dataValidation allowBlank="1" showInputMessage="1" showErrorMessage="1" prompt="Note Section for Column Y " sqref="Z13:Z62" xr:uid="{8D9BA3A6-30CF-4EE4-B8CC-3D2E07CB42DB}"/>
    <dataValidation allowBlank="1" showInputMessage="1" showErrorMessage="1" prompt="Note Section for Column AE" sqref="AF13:AF62" xr:uid="{6B15A5C8-6AAA-4722-BB64-61BB52BD144C}"/>
    <dataValidation allowBlank="1" showInputMessage="1" showErrorMessage="1" prompt="Use MM/DD/YYYY format.  Leave blank until date is needed. " sqref="AG13:AG62" xr:uid="{944ADF49-495E-4AEB-8C00-6D80500A4064}"/>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D2938F37-E1AC-405D-9275-C6C43F6C4AB9}">
          <x14:formula1>
            <xm:f>'Pick List '!$A$4:$A$15</xm:f>
          </x14:formula1>
          <xm:sqref>E10</xm:sqref>
        </x14:dataValidation>
        <x14:dataValidation type="list" allowBlank="1" showInputMessage="1" showErrorMessage="1" xr:uid="{BF3194E2-E08A-464B-9F34-8E3D2248BC40}">
          <x14:formula1>
            <xm:f>'Pick List '!$C$4:$C$9</xm:f>
          </x14:formula1>
          <xm:sqref>G10</xm:sqref>
        </x14:dataValidation>
        <x14:dataValidation type="list" allowBlank="1" showInputMessage="1" showErrorMessage="1" xr:uid="{606FC0C0-1C96-4772-B057-5F1C9A08A47E}">
          <x14:formula1>
            <xm:f>'Pick List '!$G$15:$G$16</xm:f>
          </x14:formula1>
          <xm:sqref>F13:F62 AA13:AA62 AM13:AM62 H13:J62 M13:O62 R13:T62 W13:Y62 AC13:AE62 AH13:AJ62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E7D72-D46E-4FA7-B054-5A79FE0BAE25}">
  <sheetPr>
    <tabColor rgb="FF0070C0"/>
  </sheetPr>
  <dimension ref="A1:Q64"/>
  <sheetViews>
    <sheetView tabSelected="1" zoomScale="90" zoomScaleNormal="90" workbookViewId="0">
      <selection activeCell="U9" sqref="U9"/>
    </sheetView>
  </sheetViews>
  <sheetFormatPr defaultRowHeight="15" x14ac:dyDescent="0.25"/>
  <cols>
    <col min="1" max="1" width="10.85546875" customWidth="1"/>
    <col min="2" max="33" width="9.7109375" customWidth="1"/>
  </cols>
  <sheetData>
    <row r="1" spans="1:17" ht="15.75" x14ac:dyDescent="0.25">
      <c r="A1" s="919" t="s">
        <v>888</v>
      </c>
      <c r="B1" s="920"/>
      <c r="C1" s="920"/>
      <c r="D1" s="920"/>
      <c r="E1" s="920"/>
      <c r="F1" s="920"/>
      <c r="G1" s="920"/>
      <c r="H1" s="920"/>
      <c r="I1" s="920"/>
      <c r="J1" s="920"/>
      <c r="K1" s="920"/>
      <c r="L1" s="920"/>
      <c r="M1" s="920"/>
      <c r="N1" s="920"/>
      <c r="O1" s="920"/>
      <c r="P1" s="920"/>
      <c r="Q1" s="921"/>
    </row>
    <row r="2" spans="1:17" ht="15.75" x14ac:dyDescent="0.25">
      <c r="A2" s="927" t="s">
        <v>928</v>
      </c>
      <c r="B2" s="928"/>
      <c r="C2" s="928"/>
      <c r="D2" s="928"/>
      <c r="E2" s="928"/>
      <c r="F2" s="928"/>
      <c r="G2" s="928"/>
      <c r="H2" s="928"/>
      <c r="I2" s="928"/>
      <c r="J2" s="928"/>
      <c r="K2" s="928"/>
      <c r="L2" s="928"/>
      <c r="M2" s="928"/>
      <c r="N2" s="928"/>
      <c r="O2" s="928"/>
      <c r="P2" s="928"/>
      <c r="Q2" s="929"/>
    </row>
    <row r="3" spans="1:17" ht="15.75" x14ac:dyDescent="0.25">
      <c r="A3" s="922" t="s">
        <v>934</v>
      </c>
      <c r="B3" s="923"/>
      <c r="C3" s="923"/>
      <c r="D3" s="923"/>
      <c r="E3" s="923"/>
      <c r="F3" s="923"/>
      <c r="G3" s="923"/>
      <c r="H3" s="923"/>
      <c r="I3" s="923"/>
      <c r="J3" s="923"/>
      <c r="K3" s="923"/>
      <c r="L3" s="923"/>
      <c r="M3" s="923"/>
      <c r="N3" s="923"/>
      <c r="O3" s="923"/>
      <c r="P3" s="923"/>
      <c r="Q3" s="924"/>
    </row>
    <row r="4" spans="1:17" ht="18.75" x14ac:dyDescent="0.25">
      <c r="A4" s="925" t="s">
        <v>434</v>
      </c>
      <c r="B4" s="926"/>
      <c r="C4" s="926"/>
      <c r="D4" s="926"/>
      <c r="E4" s="926"/>
      <c r="F4" s="926"/>
      <c r="G4" s="926"/>
      <c r="H4" s="926"/>
      <c r="I4" s="926"/>
      <c r="J4" s="926"/>
      <c r="K4" s="926"/>
      <c r="L4" s="926"/>
      <c r="M4" s="926"/>
      <c r="N4" s="926"/>
      <c r="O4" s="926"/>
      <c r="P4" s="926"/>
      <c r="Q4" s="256"/>
    </row>
    <row r="5" spans="1:17" ht="37.5" customHeight="1" x14ac:dyDescent="0.25">
      <c r="A5" s="897" t="s">
        <v>923</v>
      </c>
      <c r="B5" s="898"/>
      <c r="C5" s="898"/>
      <c r="D5" s="898"/>
      <c r="E5" s="899" t="s">
        <v>889</v>
      </c>
      <c r="F5" s="900"/>
      <c r="G5" s="900"/>
      <c r="H5" s="900"/>
      <c r="I5" s="901" t="s">
        <v>1</v>
      </c>
      <c r="J5" s="902"/>
      <c r="K5" s="902"/>
      <c r="L5" s="903"/>
      <c r="M5" s="880"/>
      <c r="N5" s="881"/>
      <c r="O5" s="881"/>
      <c r="P5" s="881"/>
      <c r="Q5" s="882"/>
    </row>
    <row r="6" spans="1:17" ht="24.95" customHeight="1" x14ac:dyDescent="0.25">
      <c r="A6" s="897" t="s">
        <v>924</v>
      </c>
      <c r="B6" s="898"/>
      <c r="C6" s="898"/>
      <c r="D6" s="898"/>
      <c r="E6" s="899" t="s">
        <v>933</v>
      </c>
      <c r="F6" s="900"/>
      <c r="G6" s="900"/>
      <c r="H6" s="900"/>
      <c r="I6" s="901" t="s">
        <v>3</v>
      </c>
      <c r="J6" s="902"/>
      <c r="K6" s="902"/>
      <c r="L6" s="903"/>
      <c r="M6" s="880"/>
      <c r="N6" s="881"/>
      <c r="O6" s="881"/>
      <c r="P6" s="881"/>
      <c r="Q6" s="882"/>
    </row>
    <row r="7" spans="1:17" ht="24.95" customHeight="1" x14ac:dyDescent="0.25">
      <c r="A7" s="883" t="s">
        <v>4</v>
      </c>
      <c r="B7" s="884"/>
      <c r="C7" s="884"/>
      <c r="D7" s="885"/>
      <c r="E7" s="904"/>
      <c r="F7" s="905"/>
      <c r="G7" s="905"/>
      <c r="H7" s="906"/>
      <c r="I7" s="901" t="s">
        <v>374</v>
      </c>
      <c r="J7" s="902"/>
      <c r="K7" s="902"/>
      <c r="L7" s="903"/>
      <c r="M7" s="880"/>
      <c r="N7" s="881"/>
      <c r="O7" s="881"/>
      <c r="P7" s="881"/>
      <c r="Q7" s="882"/>
    </row>
    <row r="8" spans="1:17" ht="24.95" customHeight="1" x14ac:dyDescent="0.25">
      <c r="A8" s="886"/>
      <c r="B8" s="887"/>
      <c r="C8" s="887"/>
      <c r="D8" s="888"/>
      <c r="E8" s="907"/>
      <c r="F8" s="908"/>
      <c r="G8" s="908"/>
      <c r="H8" s="909"/>
      <c r="I8" s="910" t="s">
        <v>925</v>
      </c>
      <c r="J8" s="911"/>
      <c r="K8" s="911"/>
      <c r="L8" s="912"/>
      <c r="M8" s="913"/>
      <c r="N8" s="914"/>
      <c r="O8" s="914"/>
      <c r="P8" s="914"/>
      <c r="Q8" s="915"/>
    </row>
    <row r="9" spans="1:17" ht="24.95" customHeight="1" x14ac:dyDescent="0.25">
      <c r="A9" s="931" t="s">
        <v>926</v>
      </c>
      <c r="B9" s="932"/>
      <c r="C9" s="932"/>
      <c r="D9" s="932"/>
      <c r="E9" s="930" t="s">
        <v>50</v>
      </c>
      <c r="F9" s="930"/>
      <c r="G9" s="930">
        <v>2024</v>
      </c>
      <c r="H9" s="930"/>
      <c r="I9" s="916" t="s">
        <v>927</v>
      </c>
      <c r="J9" s="917"/>
      <c r="K9" s="917"/>
      <c r="L9" s="918"/>
      <c r="M9" s="904"/>
      <c r="N9" s="905"/>
      <c r="O9" s="905"/>
      <c r="P9" s="905"/>
      <c r="Q9" s="906"/>
    </row>
    <row r="10" spans="1:17" ht="24.95" customHeight="1" x14ac:dyDescent="0.25">
      <c r="A10" s="891" t="s">
        <v>868</v>
      </c>
      <c r="B10" s="892"/>
      <c r="C10" s="892"/>
      <c r="D10" s="892"/>
      <c r="E10" s="892"/>
      <c r="F10" s="892"/>
      <c r="G10" s="892"/>
      <c r="H10" s="892"/>
      <c r="I10" s="892"/>
      <c r="J10" s="892"/>
      <c r="K10" s="892"/>
      <c r="L10" s="892"/>
      <c r="M10" s="892"/>
      <c r="N10" s="892"/>
      <c r="O10" s="892"/>
      <c r="P10" s="892"/>
      <c r="Q10" s="893"/>
    </row>
    <row r="11" spans="1:17" ht="75" customHeight="1" x14ac:dyDescent="0.25">
      <c r="A11" s="894" t="s">
        <v>873</v>
      </c>
      <c r="B11" s="895"/>
      <c r="C11" s="895"/>
      <c r="D11" s="895"/>
      <c r="E11" s="895"/>
      <c r="F11" s="895"/>
      <c r="G11" s="895"/>
      <c r="H11" s="895"/>
      <c r="I11" s="895"/>
      <c r="J11" s="895"/>
      <c r="K11" s="895"/>
      <c r="L11" s="895"/>
      <c r="M11" s="895"/>
      <c r="N11" s="895"/>
      <c r="O11" s="895"/>
      <c r="P11" s="895"/>
      <c r="Q11" s="896"/>
    </row>
    <row r="12" spans="1:17" ht="18.75" x14ac:dyDescent="0.25">
      <c r="A12" s="934" t="s">
        <v>867</v>
      </c>
      <c r="B12" s="934"/>
      <c r="C12" s="934"/>
      <c r="D12" s="934"/>
      <c r="E12" s="934"/>
      <c r="F12" s="934"/>
      <c r="G12" s="934"/>
      <c r="H12" s="934"/>
      <c r="I12" s="934"/>
      <c r="J12" s="934"/>
      <c r="K12" s="934"/>
      <c r="L12" s="934"/>
      <c r="M12" s="934"/>
      <c r="N12" s="934"/>
      <c r="O12" s="934"/>
      <c r="P12" s="934"/>
      <c r="Q12" s="255"/>
    </row>
    <row r="13" spans="1:17" ht="30" customHeight="1" x14ac:dyDescent="0.25">
      <c r="A13" s="889" t="s">
        <v>932</v>
      </c>
      <c r="B13" s="889"/>
      <c r="C13" s="889"/>
      <c r="D13" s="889"/>
      <c r="E13" s="889"/>
      <c r="F13" s="889"/>
      <c r="G13" s="889"/>
      <c r="H13" s="889"/>
      <c r="I13" s="889"/>
      <c r="J13" s="889"/>
      <c r="K13" s="889"/>
      <c r="L13" s="889"/>
      <c r="M13" s="889"/>
      <c r="N13" s="889"/>
      <c r="O13" s="889"/>
      <c r="P13" s="889"/>
      <c r="Q13" s="890"/>
    </row>
    <row r="14" spans="1:17" ht="99.95" customHeight="1" x14ac:dyDescent="0.25">
      <c r="A14" s="257" t="s">
        <v>17</v>
      </c>
      <c r="B14" s="785">
        <v>2024</v>
      </c>
      <c r="C14" s="933"/>
      <c r="D14" s="933"/>
      <c r="E14" s="933"/>
      <c r="F14" s="933"/>
      <c r="G14" s="933"/>
      <c r="H14" s="933"/>
      <c r="I14" s="933"/>
      <c r="J14" s="933"/>
      <c r="K14" s="933"/>
      <c r="L14" s="933"/>
      <c r="M14" s="933"/>
      <c r="N14" s="933"/>
      <c r="O14" s="933"/>
      <c r="P14" s="933"/>
      <c r="Q14" s="933"/>
    </row>
    <row r="15" spans="1:17" ht="30" customHeight="1" x14ac:dyDescent="0.25">
      <c r="A15" s="889" t="s">
        <v>885</v>
      </c>
      <c r="B15" s="889"/>
      <c r="C15" s="889"/>
      <c r="D15" s="889"/>
      <c r="E15" s="889"/>
      <c r="F15" s="889"/>
      <c r="G15" s="889"/>
      <c r="H15" s="889"/>
      <c r="I15" s="889"/>
      <c r="J15" s="889"/>
      <c r="K15" s="889"/>
      <c r="L15" s="889"/>
      <c r="M15" s="889"/>
      <c r="N15" s="889"/>
      <c r="O15" s="889"/>
      <c r="P15" s="889"/>
      <c r="Q15" s="890"/>
    </row>
    <row r="16" spans="1:17" ht="99.95" customHeight="1" x14ac:dyDescent="0.25">
      <c r="A16" s="257" t="s">
        <v>18</v>
      </c>
      <c r="B16" s="785">
        <v>2024</v>
      </c>
      <c r="C16" s="933"/>
      <c r="D16" s="933"/>
      <c r="E16" s="933"/>
      <c r="F16" s="933"/>
      <c r="G16" s="933"/>
      <c r="H16" s="933"/>
      <c r="I16" s="933"/>
      <c r="J16" s="933"/>
      <c r="K16" s="933"/>
      <c r="L16" s="933"/>
      <c r="M16" s="933"/>
      <c r="N16" s="933"/>
      <c r="O16" s="933"/>
      <c r="P16" s="933"/>
      <c r="Q16" s="933"/>
    </row>
    <row r="17" spans="1:17" ht="30" customHeight="1" x14ac:dyDescent="0.25">
      <c r="A17" s="889" t="s">
        <v>885</v>
      </c>
      <c r="B17" s="889"/>
      <c r="C17" s="889"/>
      <c r="D17" s="889"/>
      <c r="E17" s="889"/>
      <c r="F17" s="889"/>
      <c r="G17" s="889"/>
      <c r="H17" s="889"/>
      <c r="I17" s="889"/>
      <c r="J17" s="889"/>
      <c r="K17" s="889"/>
      <c r="L17" s="889"/>
      <c r="M17" s="889"/>
      <c r="N17" s="889"/>
      <c r="O17" s="889"/>
      <c r="P17" s="889"/>
      <c r="Q17" s="890"/>
    </row>
    <row r="18" spans="1:17" ht="99.95" customHeight="1" x14ac:dyDescent="0.25">
      <c r="A18" s="257" t="s">
        <v>19</v>
      </c>
      <c r="B18" s="785">
        <v>2024</v>
      </c>
      <c r="C18" s="933"/>
      <c r="D18" s="933"/>
      <c r="E18" s="933"/>
      <c r="F18" s="933"/>
      <c r="G18" s="933"/>
      <c r="H18" s="933"/>
      <c r="I18" s="933"/>
      <c r="J18" s="933"/>
      <c r="K18" s="933"/>
      <c r="L18" s="933"/>
      <c r="M18" s="933"/>
      <c r="N18" s="933"/>
      <c r="O18" s="933"/>
      <c r="P18" s="933"/>
      <c r="Q18" s="933"/>
    </row>
    <row r="19" spans="1:17" ht="30" customHeight="1" x14ac:dyDescent="0.25">
      <c r="A19" s="889" t="s">
        <v>885</v>
      </c>
      <c r="B19" s="889"/>
      <c r="C19" s="889"/>
      <c r="D19" s="889"/>
      <c r="E19" s="889"/>
      <c r="F19" s="889"/>
      <c r="G19" s="889"/>
      <c r="H19" s="889"/>
      <c r="I19" s="889"/>
      <c r="J19" s="889"/>
      <c r="K19" s="889"/>
      <c r="L19" s="889"/>
      <c r="M19" s="889"/>
      <c r="N19" s="889"/>
      <c r="O19" s="889"/>
      <c r="P19" s="889"/>
      <c r="Q19" s="890"/>
    </row>
    <row r="20" spans="1:17" ht="99.95" customHeight="1" x14ac:dyDescent="0.25">
      <c r="A20" s="257" t="s">
        <v>20</v>
      </c>
      <c r="B20" s="785">
        <v>2024</v>
      </c>
      <c r="C20" s="933"/>
      <c r="D20" s="933"/>
      <c r="E20" s="933"/>
      <c r="F20" s="933"/>
      <c r="G20" s="933"/>
      <c r="H20" s="933"/>
      <c r="I20" s="933"/>
      <c r="J20" s="933"/>
      <c r="K20" s="933"/>
      <c r="L20" s="933"/>
      <c r="M20" s="933"/>
      <c r="N20" s="933"/>
      <c r="O20" s="933"/>
      <c r="P20" s="933"/>
      <c r="Q20" s="933"/>
    </row>
    <row r="21" spans="1:17" ht="30" customHeight="1" x14ac:dyDescent="0.25">
      <c r="A21" s="889" t="s">
        <v>885</v>
      </c>
      <c r="B21" s="889"/>
      <c r="C21" s="889"/>
      <c r="D21" s="889"/>
      <c r="E21" s="889"/>
      <c r="F21" s="889"/>
      <c r="G21" s="889"/>
      <c r="H21" s="889"/>
      <c r="I21" s="889"/>
      <c r="J21" s="889"/>
      <c r="K21" s="889"/>
      <c r="L21" s="889"/>
      <c r="M21" s="889"/>
      <c r="N21" s="889"/>
      <c r="O21" s="889"/>
      <c r="P21" s="889"/>
      <c r="Q21" s="890"/>
    </row>
    <row r="22" spans="1:17" ht="99.95" customHeight="1" x14ac:dyDescent="0.25">
      <c r="A22" s="257" t="s">
        <v>9</v>
      </c>
      <c r="B22" s="785">
        <v>2025</v>
      </c>
      <c r="C22" s="933"/>
      <c r="D22" s="933"/>
      <c r="E22" s="933"/>
      <c r="F22" s="933"/>
      <c r="G22" s="933"/>
      <c r="H22" s="933"/>
      <c r="I22" s="933"/>
      <c r="J22" s="933"/>
      <c r="K22" s="933"/>
      <c r="L22" s="933"/>
      <c r="M22" s="933"/>
      <c r="N22" s="933"/>
      <c r="O22" s="933"/>
      <c r="P22" s="933"/>
      <c r="Q22" s="933"/>
    </row>
    <row r="23" spans="1:17" ht="30" customHeight="1" x14ac:dyDescent="0.25">
      <c r="A23" s="889" t="s">
        <v>885</v>
      </c>
      <c r="B23" s="889"/>
      <c r="C23" s="889"/>
      <c r="D23" s="889"/>
      <c r="E23" s="889"/>
      <c r="F23" s="889"/>
      <c r="G23" s="889"/>
      <c r="H23" s="889"/>
      <c r="I23" s="889"/>
      <c r="J23" s="889"/>
      <c r="K23" s="889"/>
      <c r="L23" s="889"/>
      <c r="M23" s="889"/>
      <c r="N23" s="889"/>
      <c r="O23" s="889"/>
      <c r="P23" s="889"/>
      <c r="Q23" s="890"/>
    </row>
    <row r="24" spans="1:17" ht="99.95" customHeight="1" x14ac:dyDescent="0.25">
      <c r="A24" s="257" t="s">
        <v>10</v>
      </c>
      <c r="B24" s="785">
        <v>2025</v>
      </c>
      <c r="C24" s="933"/>
      <c r="D24" s="933"/>
      <c r="E24" s="933"/>
      <c r="F24" s="933"/>
      <c r="G24" s="933"/>
      <c r="H24" s="933"/>
      <c r="I24" s="933"/>
      <c r="J24" s="933"/>
      <c r="K24" s="933"/>
      <c r="L24" s="933"/>
      <c r="M24" s="933"/>
      <c r="N24" s="933"/>
      <c r="O24" s="933"/>
      <c r="P24" s="933"/>
      <c r="Q24" s="933"/>
    </row>
    <row r="25" spans="1:17" ht="30" customHeight="1" x14ac:dyDescent="0.25">
      <c r="A25" s="889" t="s">
        <v>885</v>
      </c>
      <c r="B25" s="889"/>
      <c r="C25" s="889"/>
      <c r="D25" s="889"/>
      <c r="E25" s="889"/>
      <c r="F25" s="889"/>
      <c r="G25" s="889"/>
      <c r="H25" s="889"/>
      <c r="I25" s="889"/>
      <c r="J25" s="889"/>
      <c r="K25" s="889"/>
      <c r="L25" s="889"/>
      <c r="M25" s="889"/>
      <c r="N25" s="889"/>
      <c r="O25" s="889"/>
      <c r="P25" s="889"/>
      <c r="Q25" s="890"/>
    </row>
    <row r="26" spans="1:17" ht="99.95" customHeight="1" x14ac:dyDescent="0.25">
      <c r="A26" s="257" t="s">
        <v>11</v>
      </c>
      <c r="B26" s="785">
        <v>2025</v>
      </c>
      <c r="C26" s="933"/>
      <c r="D26" s="933"/>
      <c r="E26" s="933"/>
      <c r="F26" s="933"/>
      <c r="G26" s="933"/>
      <c r="H26" s="933"/>
      <c r="I26" s="933"/>
      <c r="J26" s="933"/>
      <c r="K26" s="933"/>
      <c r="L26" s="933"/>
      <c r="M26" s="933"/>
      <c r="N26" s="933"/>
      <c r="O26" s="933"/>
      <c r="P26" s="933"/>
      <c r="Q26" s="933"/>
    </row>
    <row r="27" spans="1:17" ht="30" customHeight="1" x14ac:dyDescent="0.25">
      <c r="A27" s="889" t="s">
        <v>885</v>
      </c>
      <c r="B27" s="889"/>
      <c r="C27" s="889"/>
      <c r="D27" s="889"/>
      <c r="E27" s="889"/>
      <c r="F27" s="889"/>
      <c r="G27" s="889"/>
      <c r="H27" s="889"/>
      <c r="I27" s="889"/>
      <c r="J27" s="889"/>
      <c r="K27" s="889"/>
      <c r="L27" s="889"/>
      <c r="M27" s="889"/>
      <c r="N27" s="889"/>
      <c r="O27" s="889"/>
      <c r="P27" s="889"/>
      <c r="Q27" s="890"/>
    </row>
    <row r="28" spans="1:17" ht="99.95" customHeight="1" x14ac:dyDescent="0.25">
      <c r="A28" s="257" t="s">
        <v>12</v>
      </c>
      <c r="B28" s="785">
        <v>2025</v>
      </c>
      <c r="C28" s="933"/>
      <c r="D28" s="933"/>
      <c r="E28" s="933"/>
      <c r="F28" s="933"/>
      <c r="G28" s="933"/>
      <c r="H28" s="933"/>
      <c r="I28" s="933"/>
      <c r="J28" s="933"/>
      <c r="K28" s="933"/>
      <c r="L28" s="933"/>
      <c r="M28" s="933"/>
      <c r="N28" s="933"/>
      <c r="O28" s="933"/>
      <c r="P28" s="933"/>
      <c r="Q28" s="933"/>
    </row>
    <row r="29" spans="1:17" ht="30" customHeight="1" x14ac:dyDescent="0.25">
      <c r="A29" s="889" t="s">
        <v>885</v>
      </c>
      <c r="B29" s="889"/>
      <c r="C29" s="889"/>
      <c r="D29" s="889"/>
      <c r="E29" s="889"/>
      <c r="F29" s="889"/>
      <c r="G29" s="889"/>
      <c r="H29" s="889"/>
      <c r="I29" s="889"/>
      <c r="J29" s="889"/>
      <c r="K29" s="889"/>
      <c r="L29" s="889"/>
      <c r="M29" s="889"/>
      <c r="N29" s="889"/>
      <c r="O29" s="889"/>
      <c r="P29" s="889"/>
      <c r="Q29" s="890"/>
    </row>
    <row r="30" spans="1:17" ht="99.95" customHeight="1" x14ac:dyDescent="0.25">
      <c r="A30" s="257" t="s">
        <v>13</v>
      </c>
      <c r="B30" s="785">
        <v>2025</v>
      </c>
      <c r="C30" s="933"/>
      <c r="D30" s="933"/>
      <c r="E30" s="933"/>
      <c r="F30" s="933"/>
      <c r="G30" s="933"/>
      <c r="H30" s="933"/>
      <c r="I30" s="933"/>
      <c r="J30" s="933"/>
      <c r="K30" s="933"/>
      <c r="L30" s="933"/>
      <c r="M30" s="933"/>
      <c r="N30" s="933"/>
      <c r="O30" s="933"/>
      <c r="P30" s="933"/>
      <c r="Q30" s="933"/>
    </row>
    <row r="31" spans="1:17" ht="30" customHeight="1" x14ac:dyDescent="0.25">
      <c r="A31" s="889" t="s">
        <v>887</v>
      </c>
      <c r="B31" s="889"/>
      <c r="C31" s="889"/>
      <c r="D31" s="889"/>
      <c r="E31" s="889"/>
      <c r="F31" s="889"/>
      <c r="G31" s="889"/>
      <c r="H31" s="889"/>
      <c r="I31" s="889"/>
      <c r="J31" s="889"/>
      <c r="K31" s="889"/>
      <c r="L31" s="889"/>
      <c r="M31" s="889"/>
      <c r="N31" s="889"/>
      <c r="O31" s="889"/>
      <c r="P31" s="889"/>
      <c r="Q31" s="890"/>
    </row>
    <row r="32" spans="1:17" ht="99.95" customHeight="1" x14ac:dyDescent="0.25">
      <c r="A32" s="257" t="s">
        <v>14</v>
      </c>
      <c r="B32" s="785">
        <v>2025</v>
      </c>
      <c r="C32" s="933"/>
      <c r="D32" s="933"/>
      <c r="E32" s="933"/>
      <c r="F32" s="933"/>
      <c r="G32" s="933"/>
      <c r="H32" s="933"/>
      <c r="I32" s="933"/>
      <c r="J32" s="933"/>
      <c r="K32" s="933"/>
      <c r="L32" s="933"/>
      <c r="M32" s="933"/>
      <c r="N32" s="933"/>
      <c r="O32" s="933"/>
      <c r="P32" s="933"/>
      <c r="Q32" s="933"/>
    </row>
    <row r="33" spans="1:17" ht="30" customHeight="1" x14ac:dyDescent="0.25">
      <c r="A33" s="889" t="s">
        <v>886</v>
      </c>
      <c r="B33" s="889"/>
      <c r="C33" s="889"/>
      <c r="D33" s="889"/>
      <c r="E33" s="889"/>
      <c r="F33" s="889"/>
      <c r="G33" s="889"/>
      <c r="H33" s="889"/>
      <c r="I33" s="889"/>
      <c r="J33" s="889"/>
      <c r="K33" s="889"/>
      <c r="L33" s="889"/>
      <c r="M33" s="889"/>
      <c r="N33" s="889"/>
      <c r="O33" s="889"/>
      <c r="P33" s="889"/>
      <c r="Q33" s="890"/>
    </row>
    <row r="34" spans="1:17" ht="99.95" customHeight="1" x14ac:dyDescent="0.25">
      <c r="A34" s="257" t="s">
        <v>15</v>
      </c>
      <c r="B34" s="785">
        <v>2025</v>
      </c>
      <c r="C34" s="933"/>
      <c r="D34" s="933"/>
      <c r="E34" s="933"/>
      <c r="F34" s="933"/>
      <c r="G34" s="933"/>
      <c r="H34" s="933"/>
      <c r="I34" s="933"/>
      <c r="J34" s="933"/>
      <c r="K34" s="933"/>
      <c r="L34" s="933"/>
      <c r="M34" s="933"/>
      <c r="N34" s="933"/>
      <c r="O34" s="933"/>
      <c r="P34" s="933"/>
      <c r="Q34" s="933"/>
    </row>
    <row r="35" spans="1:17" ht="30" customHeight="1" x14ac:dyDescent="0.25">
      <c r="A35" s="889" t="s">
        <v>885</v>
      </c>
      <c r="B35" s="889"/>
      <c r="C35" s="889"/>
      <c r="D35" s="889"/>
      <c r="E35" s="889"/>
      <c r="F35" s="889"/>
      <c r="G35" s="889"/>
      <c r="H35" s="889"/>
      <c r="I35" s="889"/>
      <c r="J35" s="889"/>
      <c r="K35" s="889"/>
      <c r="L35" s="889"/>
      <c r="M35" s="889"/>
      <c r="N35" s="889"/>
      <c r="O35" s="889"/>
      <c r="P35" s="889"/>
      <c r="Q35" s="890"/>
    </row>
    <row r="36" spans="1:17" ht="99.95" customHeight="1" x14ac:dyDescent="0.25">
      <c r="A36" s="257" t="s">
        <v>16</v>
      </c>
      <c r="B36" s="785">
        <v>2025</v>
      </c>
      <c r="C36" s="933"/>
      <c r="D36" s="933"/>
      <c r="E36" s="933"/>
      <c r="F36" s="933"/>
      <c r="G36" s="933"/>
      <c r="H36" s="933"/>
      <c r="I36" s="933"/>
      <c r="J36" s="933"/>
      <c r="K36" s="933"/>
      <c r="L36" s="933"/>
      <c r="M36" s="933"/>
      <c r="N36" s="933"/>
      <c r="O36" s="933"/>
      <c r="P36" s="933"/>
      <c r="Q36" s="933"/>
    </row>
    <row r="37" spans="1:17" ht="30" customHeight="1" x14ac:dyDescent="0.25">
      <c r="A37" s="889" t="s">
        <v>885</v>
      </c>
      <c r="B37" s="889"/>
      <c r="C37" s="889"/>
      <c r="D37" s="889"/>
      <c r="E37" s="889"/>
      <c r="F37" s="889"/>
      <c r="G37" s="889"/>
      <c r="H37" s="889"/>
      <c r="I37" s="889"/>
      <c r="J37" s="889"/>
      <c r="K37" s="889"/>
      <c r="L37" s="889"/>
      <c r="M37" s="889"/>
      <c r="N37" s="889"/>
      <c r="O37" s="889"/>
      <c r="P37" s="889"/>
      <c r="Q37" s="890"/>
    </row>
    <row r="38" spans="1:17" ht="99.95" customHeight="1" x14ac:dyDescent="0.25">
      <c r="A38" s="257" t="s">
        <v>17</v>
      </c>
      <c r="B38" s="785">
        <v>2025</v>
      </c>
      <c r="C38" s="933"/>
      <c r="D38" s="933"/>
      <c r="E38" s="933"/>
      <c r="F38" s="933"/>
      <c r="G38" s="933"/>
      <c r="H38" s="933"/>
      <c r="I38" s="933"/>
      <c r="J38" s="933"/>
      <c r="K38" s="933"/>
      <c r="L38" s="933"/>
      <c r="M38" s="933"/>
      <c r="N38" s="933"/>
      <c r="O38" s="933"/>
      <c r="P38" s="933"/>
      <c r="Q38" s="933"/>
    </row>
    <row r="39" spans="1:17" ht="30" customHeight="1" x14ac:dyDescent="0.25">
      <c r="A39" s="936"/>
      <c r="B39" s="936"/>
      <c r="C39" s="936"/>
      <c r="D39" s="936"/>
      <c r="E39" s="936"/>
      <c r="F39" s="936"/>
      <c r="G39" s="936"/>
      <c r="H39" s="936"/>
      <c r="I39" s="936"/>
      <c r="J39" s="936"/>
      <c r="K39" s="936"/>
      <c r="L39" s="936"/>
      <c r="M39" s="936"/>
      <c r="N39" s="936"/>
      <c r="O39" s="936"/>
      <c r="P39" s="936"/>
      <c r="Q39" s="937"/>
    </row>
    <row r="40" spans="1:17" ht="99.95" customHeight="1" x14ac:dyDescent="0.25">
      <c r="A40" s="773"/>
      <c r="B40" s="786"/>
      <c r="C40" s="935"/>
      <c r="D40" s="935"/>
      <c r="E40" s="935"/>
      <c r="F40" s="935"/>
      <c r="G40" s="935"/>
      <c r="H40" s="935"/>
      <c r="I40" s="935"/>
      <c r="J40" s="935"/>
      <c r="K40" s="935"/>
      <c r="L40" s="935"/>
      <c r="M40" s="935"/>
      <c r="N40" s="935"/>
      <c r="O40" s="935"/>
      <c r="P40" s="935"/>
      <c r="Q40" s="935"/>
    </row>
    <row r="41" spans="1:17" ht="30" customHeight="1" x14ac:dyDescent="0.25">
      <c r="A41" s="936"/>
      <c r="B41" s="936"/>
      <c r="C41" s="936"/>
      <c r="D41" s="936"/>
      <c r="E41" s="936"/>
      <c r="F41" s="936"/>
      <c r="G41" s="936"/>
      <c r="H41" s="936"/>
      <c r="I41" s="936"/>
      <c r="J41" s="936"/>
      <c r="K41" s="936"/>
      <c r="L41" s="936"/>
      <c r="M41" s="936"/>
      <c r="N41" s="936"/>
      <c r="O41" s="936"/>
      <c r="P41" s="936"/>
      <c r="Q41" s="937"/>
    </row>
    <row r="42" spans="1:17" ht="99.95" customHeight="1" x14ac:dyDescent="0.25">
      <c r="A42" s="773"/>
      <c r="B42" s="786"/>
      <c r="C42" s="935"/>
      <c r="D42" s="935"/>
      <c r="E42" s="935"/>
      <c r="F42" s="935"/>
      <c r="G42" s="935"/>
      <c r="H42" s="935"/>
      <c r="I42" s="935"/>
      <c r="J42" s="935"/>
      <c r="K42" s="935"/>
      <c r="L42" s="935"/>
      <c r="M42" s="935"/>
      <c r="N42" s="935"/>
      <c r="O42" s="935"/>
      <c r="P42" s="935"/>
      <c r="Q42" s="935"/>
    </row>
    <row r="43" spans="1:17" ht="30" customHeight="1" x14ac:dyDescent="0.25">
      <c r="A43" s="936" t="s">
        <v>24</v>
      </c>
      <c r="B43" s="936"/>
      <c r="C43" s="936"/>
      <c r="D43" s="936"/>
      <c r="E43" s="936"/>
      <c r="F43" s="936"/>
      <c r="G43" s="936"/>
      <c r="H43" s="936"/>
      <c r="I43" s="936"/>
      <c r="J43" s="936"/>
      <c r="K43" s="936"/>
      <c r="L43" s="936"/>
      <c r="M43" s="936"/>
      <c r="N43" s="936"/>
      <c r="O43" s="936"/>
      <c r="P43" s="936"/>
      <c r="Q43" s="937"/>
    </row>
    <row r="44" spans="1:17" ht="99.95" customHeight="1" x14ac:dyDescent="0.25">
      <c r="A44" s="773" t="s">
        <v>20</v>
      </c>
      <c r="B44" s="786">
        <v>2023</v>
      </c>
      <c r="C44" s="935"/>
      <c r="D44" s="935"/>
      <c r="E44" s="935"/>
      <c r="F44" s="935"/>
      <c r="G44" s="935"/>
      <c r="H44" s="935"/>
      <c r="I44" s="935"/>
      <c r="J44" s="935"/>
      <c r="K44" s="935"/>
      <c r="L44" s="935"/>
      <c r="M44" s="935"/>
      <c r="N44" s="935"/>
      <c r="O44" s="935"/>
      <c r="P44" s="935"/>
      <c r="Q44" s="935"/>
    </row>
    <row r="45" spans="1:17" ht="30" customHeight="1" x14ac:dyDescent="0.25">
      <c r="A45" s="936" t="s">
        <v>24</v>
      </c>
      <c r="B45" s="936"/>
      <c r="C45" s="936"/>
      <c r="D45" s="936"/>
      <c r="E45" s="936"/>
      <c r="F45" s="936"/>
      <c r="G45" s="936"/>
      <c r="H45" s="936"/>
      <c r="I45" s="936"/>
      <c r="J45" s="936"/>
      <c r="K45" s="936"/>
      <c r="L45" s="936"/>
      <c r="M45" s="936"/>
      <c r="N45" s="936"/>
      <c r="O45" s="936"/>
      <c r="P45" s="936"/>
      <c r="Q45" s="937"/>
    </row>
    <row r="46" spans="1:17" ht="99.95" customHeight="1" x14ac:dyDescent="0.25">
      <c r="A46" s="773" t="s">
        <v>9</v>
      </c>
      <c r="B46" s="786">
        <v>2024</v>
      </c>
      <c r="C46" s="935"/>
      <c r="D46" s="935"/>
      <c r="E46" s="935"/>
      <c r="F46" s="935"/>
      <c r="G46" s="935"/>
      <c r="H46" s="935"/>
      <c r="I46" s="935"/>
      <c r="J46" s="935"/>
      <c r="K46" s="935"/>
      <c r="L46" s="935"/>
      <c r="M46" s="935"/>
      <c r="N46" s="935"/>
      <c r="O46" s="935"/>
      <c r="P46" s="935"/>
      <c r="Q46" s="935"/>
    </row>
    <row r="47" spans="1:17" ht="30" customHeight="1" x14ac:dyDescent="0.25">
      <c r="A47" s="936" t="s">
        <v>24</v>
      </c>
      <c r="B47" s="936"/>
      <c r="C47" s="936"/>
      <c r="D47" s="936"/>
      <c r="E47" s="936"/>
      <c r="F47" s="936"/>
      <c r="G47" s="936"/>
      <c r="H47" s="936"/>
      <c r="I47" s="936"/>
      <c r="J47" s="936"/>
      <c r="K47" s="936"/>
      <c r="L47" s="936"/>
      <c r="M47" s="936"/>
      <c r="N47" s="936"/>
      <c r="O47" s="936"/>
      <c r="P47" s="936"/>
      <c r="Q47" s="937"/>
    </row>
    <row r="48" spans="1:17" ht="99.95" customHeight="1" x14ac:dyDescent="0.25">
      <c r="A48" s="773" t="s">
        <v>9</v>
      </c>
      <c r="B48" s="786">
        <v>2024</v>
      </c>
      <c r="C48" s="935"/>
      <c r="D48" s="935"/>
      <c r="E48" s="935"/>
      <c r="F48" s="935"/>
      <c r="G48" s="935"/>
      <c r="H48" s="935"/>
      <c r="I48" s="935"/>
      <c r="J48" s="935"/>
      <c r="K48" s="935"/>
      <c r="L48" s="935"/>
      <c r="M48" s="935"/>
      <c r="N48" s="935"/>
      <c r="O48" s="935"/>
      <c r="P48" s="935"/>
      <c r="Q48" s="935"/>
    </row>
    <row r="49" spans="1:17" ht="30" customHeight="1" x14ac:dyDescent="0.25">
      <c r="A49" s="936" t="s">
        <v>24</v>
      </c>
      <c r="B49" s="936"/>
      <c r="C49" s="936"/>
      <c r="D49" s="936"/>
      <c r="E49" s="936"/>
      <c r="F49" s="936"/>
      <c r="G49" s="936"/>
      <c r="H49" s="936"/>
      <c r="I49" s="936"/>
      <c r="J49" s="936"/>
      <c r="K49" s="936"/>
      <c r="L49" s="936"/>
      <c r="M49" s="936"/>
      <c r="N49" s="936"/>
      <c r="O49" s="936"/>
      <c r="P49" s="936"/>
      <c r="Q49" s="937"/>
    </row>
    <row r="50" spans="1:17" ht="99.95" customHeight="1" x14ac:dyDescent="0.25">
      <c r="A50" s="773" t="s">
        <v>10</v>
      </c>
      <c r="B50" s="786">
        <v>2024</v>
      </c>
      <c r="C50" s="935"/>
      <c r="D50" s="935"/>
      <c r="E50" s="935"/>
      <c r="F50" s="935"/>
      <c r="G50" s="935"/>
      <c r="H50" s="935"/>
      <c r="I50" s="935"/>
      <c r="J50" s="935"/>
      <c r="K50" s="935"/>
      <c r="L50" s="935"/>
      <c r="M50" s="935"/>
      <c r="N50" s="935"/>
      <c r="O50" s="935"/>
      <c r="P50" s="935"/>
      <c r="Q50" s="935"/>
    </row>
    <row r="51" spans="1:17" ht="30" customHeight="1" x14ac:dyDescent="0.25">
      <c r="A51" s="936" t="s">
        <v>24</v>
      </c>
      <c r="B51" s="936"/>
      <c r="C51" s="936"/>
      <c r="D51" s="936"/>
      <c r="E51" s="936"/>
      <c r="F51" s="936"/>
      <c r="G51" s="936"/>
      <c r="H51" s="936"/>
      <c r="I51" s="936"/>
      <c r="J51" s="936"/>
      <c r="K51" s="936"/>
      <c r="L51" s="936"/>
      <c r="M51" s="936"/>
      <c r="N51" s="936"/>
      <c r="O51" s="936"/>
      <c r="P51" s="936"/>
      <c r="Q51" s="937"/>
    </row>
    <row r="52" spans="1:17" ht="99.95" customHeight="1" x14ac:dyDescent="0.25">
      <c r="A52" s="773" t="s">
        <v>11</v>
      </c>
      <c r="B52" s="786">
        <v>2024</v>
      </c>
      <c r="C52" s="935"/>
      <c r="D52" s="935"/>
      <c r="E52" s="935"/>
      <c r="F52" s="935"/>
      <c r="G52" s="935"/>
      <c r="H52" s="935"/>
      <c r="I52" s="935"/>
      <c r="J52" s="935"/>
      <c r="K52" s="935"/>
      <c r="L52" s="935"/>
      <c r="M52" s="935"/>
      <c r="N52" s="935"/>
      <c r="O52" s="935"/>
      <c r="P52" s="935"/>
      <c r="Q52" s="935"/>
    </row>
    <row r="53" spans="1:17" ht="30" customHeight="1" x14ac:dyDescent="0.25">
      <c r="A53" s="936" t="s">
        <v>24</v>
      </c>
      <c r="B53" s="936"/>
      <c r="C53" s="936"/>
      <c r="D53" s="936"/>
      <c r="E53" s="936"/>
      <c r="F53" s="936"/>
      <c r="G53" s="936"/>
      <c r="H53" s="936"/>
      <c r="I53" s="936"/>
      <c r="J53" s="936"/>
      <c r="K53" s="936"/>
      <c r="L53" s="936"/>
      <c r="M53" s="936"/>
      <c r="N53" s="936"/>
      <c r="O53" s="936"/>
      <c r="P53" s="936"/>
      <c r="Q53" s="937"/>
    </row>
    <row r="54" spans="1:17" ht="99.95" customHeight="1" x14ac:dyDescent="0.25">
      <c r="A54" s="773" t="s">
        <v>12</v>
      </c>
      <c r="B54" s="786">
        <v>2024</v>
      </c>
      <c r="C54" s="935"/>
      <c r="D54" s="935"/>
      <c r="E54" s="935"/>
      <c r="F54" s="935"/>
      <c r="G54" s="935"/>
      <c r="H54" s="935"/>
      <c r="I54" s="935"/>
      <c r="J54" s="935"/>
      <c r="K54" s="935"/>
      <c r="L54" s="935"/>
      <c r="M54" s="935"/>
      <c r="N54" s="935"/>
      <c r="O54" s="935"/>
      <c r="P54" s="935"/>
      <c r="Q54" s="935"/>
    </row>
    <row r="55" spans="1:17" ht="30" customHeight="1" x14ac:dyDescent="0.25">
      <c r="A55" s="936" t="s">
        <v>24</v>
      </c>
      <c r="B55" s="936"/>
      <c r="C55" s="936"/>
      <c r="D55" s="936"/>
      <c r="E55" s="936"/>
      <c r="F55" s="936"/>
      <c r="G55" s="936"/>
      <c r="H55" s="936"/>
      <c r="I55" s="936"/>
      <c r="J55" s="936"/>
      <c r="K55" s="936"/>
      <c r="L55" s="936"/>
      <c r="M55" s="936"/>
      <c r="N55" s="936"/>
      <c r="O55" s="936"/>
      <c r="P55" s="936"/>
      <c r="Q55" s="937"/>
    </row>
    <row r="56" spans="1:17" ht="99.95" customHeight="1" x14ac:dyDescent="0.25">
      <c r="A56" s="773" t="s">
        <v>13</v>
      </c>
      <c r="B56" s="786">
        <v>2024</v>
      </c>
      <c r="C56" s="935"/>
      <c r="D56" s="935"/>
      <c r="E56" s="935"/>
      <c r="F56" s="935"/>
      <c r="G56" s="935"/>
      <c r="H56" s="935"/>
      <c r="I56" s="935"/>
      <c r="J56" s="935"/>
      <c r="K56" s="935"/>
      <c r="L56" s="935"/>
      <c r="M56" s="935"/>
      <c r="N56" s="935"/>
      <c r="O56" s="935"/>
      <c r="P56" s="935"/>
      <c r="Q56" s="935"/>
    </row>
    <row r="57" spans="1:17" ht="30" customHeight="1" x14ac:dyDescent="0.25">
      <c r="A57" s="936" t="s">
        <v>24</v>
      </c>
      <c r="B57" s="936"/>
      <c r="C57" s="936"/>
      <c r="D57" s="936"/>
      <c r="E57" s="936"/>
      <c r="F57" s="936"/>
      <c r="G57" s="936"/>
      <c r="H57" s="936"/>
      <c r="I57" s="936"/>
      <c r="J57" s="936"/>
      <c r="K57" s="936"/>
      <c r="L57" s="936"/>
      <c r="M57" s="936"/>
      <c r="N57" s="936"/>
      <c r="O57" s="936"/>
      <c r="P57" s="936"/>
      <c r="Q57" s="937"/>
    </row>
    <row r="58" spans="1:17" ht="99.95" customHeight="1" x14ac:dyDescent="0.25">
      <c r="A58" s="773" t="s">
        <v>14</v>
      </c>
      <c r="B58" s="786">
        <v>2024</v>
      </c>
      <c r="C58" s="935"/>
      <c r="D58" s="935"/>
      <c r="E58" s="935"/>
      <c r="F58" s="935"/>
      <c r="G58" s="935"/>
      <c r="H58" s="935"/>
      <c r="I58" s="935"/>
      <c r="J58" s="935"/>
      <c r="K58" s="935"/>
      <c r="L58" s="935"/>
      <c r="M58" s="935"/>
      <c r="N58" s="935"/>
      <c r="O58" s="935"/>
      <c r="P58" s="935"/>
      <c r="Q58" s="935"/>
    </row>
    <row r="59" spans="1:17" ht="30" customHeight="1" x14ac:dyDescent="0.25">
      <c r="A59" s="936" t="s">
        <v>24</v>
      </c>
      <c r="B59" s="936"/>
      <c r="C59" s="936"/>
      <c r="D59" s="936"/>
      <c r="E59" s="936"/>
      <c r="F59" s="936"/>
      <c r="G59" s="936"/>
      <c r="H59" s="936"/>
      <c r="I59" s="936"/>
      <c r="J59" s="936"/>
      <c r="K59" s="936"/>
      <c r="L59" s="936"/>
      <c r="M59" s="936"/>
      <c r="N59" s="936"/>
      <c r="O59" s="936"/>
      <c r="P59" s="936"/>
      <c r="Q59" s="937"/>
    </row>
    <row r="60" spans="1:17" ht="99.95" customHeight="1" x14ac:dyDescent="0.25">
      <c r="A60" s="773" t="s">
        <v>15</v>
      </c>
      <c r="B60" s="786">
        <v>2024</v>
      </c>
      <c r="C60" s="935"/>
      <c r="D60" s="935"/>
      <c r="E60" s="935"/>
      <c r="F60" s="935"/>
      <c r="G60" s="935"/>
      <c r="H60" s="935"/>
      <c r="I60" s="935"/>
      <c r="J60" s="935"/>
      <c r="K60" s="935"/>
      <c r="L60" s="935"/>
      <c r="M60" s="935"/>
      <c r="N60" s="935"/>
      <c r="O60" s="935"/>
      <c r="P60" s="935"/>
      <c r="Q60" s="935"/>
    </row>
    <row r="61" spans="1:17" ht="30" customHeight="1" x14ac:dyDescent="0.25">
      <c r="A61" s="936" t="s">
        <v>24</v>
      </c>
      <c r="B61" s="936"/>
      <c r="C61" s="936"/>
      <c r="D61" s="936"/>
      <c r="E61" s="936"/>
      <c r="F61" s="936"/>
      <c r="G61" s="936"/>
      <c r="H61" s="936"/>
      <c r="I61" s="936"/>
      <c r="J61" s="936"/>
      <c r="K61" s="936"/>
      <c r="L61" s="936"/>
      <c r="M61" s="936"/>
      <c r="N61" s="936"/>
      <c r="O61" s="936"/>
      <c r="P61" s="936"/>
      <c r="Q61" s="937"/>
    </row>
    <row r="62" spans="1:17" ht="99.95" customHeight="1" x14ac:dyDescent="0.25">
      <c r="A62" s="773" t="s">
        <v>16</v>
      </c>
      <c r="B62" s="786">
        <v>2024</v>
      </c>
      <c r="C62" s="935"/>
      <c r="D62" s="935"/>
      <c r="E62" s="935"/>
      <c r="F62" s="935"/>
      <c r="G62" s="935"/>
      <c r="H62" s="935"/>
      <c r="I62" s="935"/>
      <c r="J62" s="935"/>
      <c r="K62" s="935"/>
      <c r="L62" s="935"/>
      <c r="M62" s="935"/>
      <c r="N62" s="935"/>
      <c r="O62" s="935"/>
      <c r="P62" s="935"/>
      <c r="Q62" s="935"/>
    </row>
    <row r="63" spans="1:17" ht="30" customHeight="1" x14ac:dyDescent="0.25">
      <c r="A63" s="936" t="s">
        <v>24</v>
      </c>
      <c r="B63" s="936"/>
      <c r="C63" s="936"/>
      <c r="D63" s="936"/>
      <c r="E63" s="936"/>
      <c r="F63" s="936"/>
      <c r="G63" s="936"/>
      <c r="H63" s="936"/>
      <c r="I63" s="936"/>
      <c r="J63" s="936"/>
      <c r="K63" s="936"/>
      <c r="L63" s="936"/>
      <c r="M63" s="936"/>
      <c r="N63" s="936"/>
      <c r="O63" s="936"/>
      <c r="P63" s="936"/>
      <c r="Q63" s="937"/>
    </row>
    <row r="64" spans="1:17" ht="99.95" customHeight="1" x14ac:dyDescent="0.25">
      <c r="A64" s="773" t="s">
        <v>17</v>
      </c>
      <c r="B64" s="786">
        <v>2024</v>
      </c>
      <c r="C64" s="935"/>
      <c r="D64" s="935"/>
      <c r="E64" s="935"/>
      <c r="F64" s="935"/>
      <c r="G64" s="935"/>
      <c r="H64" s="935"/>
      <c r="I64" s="935"/>
      <c r="J64" s="935"/>
      <c r="K64" s="935"/>
      <c r="L64" s="935"/>
      <c r="M64" s="935"/>
      <c r="N64" s="935"/>
      <c r="O64" s="935"/>
      <c r="P64" s="935"/>
      <c r="Q64" s="935"/>
    </row>
  </sheetData>
  <sheetProtection algorithmName="SHA-512" hashValue="VEuCNvK4x9U9t/JJ7Sl8PpbvPq93zQ0xjlKy1vdWYxkCyeAja3mZUoMABgyvztPDw3lSjdNOPqJTN1aB/iiwPg==" saltValue="TagFKwJHIKd6BJoYeojc3w==" spinCount="100000" sheet="1" objects="1" scenarios="1"/>
  <mergeCells count="78">
    <mergeCell ref="C42:Q42"/>
    <mergeCell ref="A43:Q43"/>
    <mergeCell ref="C36:Q36"/>
    <mergeCell ref="C26:Q26"/>
    <mergeCell ref="C28:Q28"/>
    <mergeCell ref="C32:Q32"/>
    <mergeCell ref="A33:Q33"/>
    <mergeCell ref="A35:Q35"/>
    <mergeCell ref="C34:Q34"/>
    <mergeCell ref="A37:Q37"/>
    <mergeCell ref="C38:Q38"/>
    <mergeCell ref="A39:Q39"/>
    <mergeCell ref="C40:Q40"/>
    <mergeCell ref="A41:Q41"/>
    <mergeCell ref="C30:Q30"/>
    <mergeCell ref="A31:Q31"/>
    <mergeCell ref="A61:Q61"/>
    <mergeCell ref="C44:Q44"/>
    <mergeCell ref="A45:Q45"/>
    <mergeCell ref="C46:Q46"/>
    <mergeCell ref="A47:Q47"/>
    <mergeCell ref="C62:Q62"/>
    <mergeCell ref="A63:Q63"/>
    <mergeCell ref="C64:Q64"/>
    <mergeCell ref="C48:Q48"/>
    <mergeCell ref="A49:Q49"/>
    <mergeCell ref="C50:Q50"/>
    <mergeCell ref="A51:Q51"/>
    <mergeCell ref="C52:Q52"/>
    <mergeCell ref="A53:Q53"/>
    <mergeCell ref="C54:Q54"/>
    <mergeCell ref="A55:Q55"/>
    <mergeCell ref="C56:Q56"/>
    <mergeCell ref="A57:Q57"/>
    <mergeCell ref="C58:Q58"/>
    <mergeCell ref="A59:Q59"/>
    <mergeCell ref="C60:Q60"/>
    <mergeCell ref="A25:Q25"/>
    <mergeCell ref="A27:Q27"/>
    <mergeCell ref="A29:Q29"/>
    <mergeCell ref="C24:Q24"/>
    <mergeCell ref="A13:Q13"/>
    <mergeCell ref="A15:Q15"/>
    <mergeCell ref="A21:Q21"/>
    <mergeCell ref="C20:Q20"/>
    <mergeCell ref="C14:Q14"/>
    <mergeCell ref="C16:Q16"/>
    <mergeCell ref="E9:F9"/>
    <mergeCell ref="G9:H9"/>
    <mergeCell ref="A9:D9"/>
    <mergeCell ref="A23:Q23"/>
    <mergeCell ref="C22:Q22"/>
    <mergeCell ref="C18:Q18"/>
    <mergeCell ref="A12:P12"/>
    <mergeCell ref="A1:Q1"/>
    <mergeCell ref="A3:Q3"/>
    <mergeCell ref="A4:P4"/>
    <mergeCell ref="A5:D5"/>
    <mergeCell ref="E5:H5"/>
    <mergeCell ref="I5:L5"/>
    <mergeCell ref="M5:Q5"/>
    <mergeCell ref="A2:Q2"/>
    <mergeCell ref="M6:Q6"/>
    <mergeCell ref="M7:Q7"/>
    <mergeCell ref="A7:D8"/>
    <mergeCell ref="A17:Q17"/>
    <mergeCell ref="A19:Q19"/>
    <mergeCell ref="A10:Q10"/>
    <mergeCell ref="A11:Q11"/>
    <mergeCell ref="A6:D6"/>
    <mergeCell ref="E6:H6"/>
    <mergeCell ref="I6:L6"/>
    <mergeCell ref="E7:H8"/>
    <mergeCell ref="I7:L7"/>
    <mergeCell ref="I8:L8"/>
    <mergeCell ref="M8:Q8"/>
    <mergeCell ref="I9:L9"/>
    <mergeCell ref="M9:Q9"/>
  </mergeCell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Drop down list" xr:uid="{FD1320A7-16E7-4B2E-AEF8-AE256A46B2A8}">
          <x14:formula1>
            <xm:f>'Pick List '!$A$4:$A$15</xm:f>
          </x14:formula1>
          <xm:sqref>E9:F9</xm:sqref>
        </x14:dataValidation>
        <x14:dataValidation type="list" allowBlank="1" showInputMessage="1" showErrorMessage="1" xr:uid="{11260607-EE6D-4F33-9BA5-54AF6B3D39A7}">
          <x14:formula1>
            <xm:f>'Pick List '!$J$170:$J$178</xm:f>
          </x14:formula1>
          <xm:sqref>G9:H9</xm:sqref>
        </x14:dataValidation>
        <x14:dataValidation type="list" allowBlank="1" showInputMessage="1" showErrorMessage="1" prompt="Select an option from Drop down list" xr:uid="{7E70BFC1-D539-4407-95E7-A8DB93B4B032}">
          <x14:formula1>
            <xm:f>'Pick List '!$J$170:$J$178</xm:f>
          </x14:formula1>
          <xm:sqref>B14 B16 B18 B20 B22 B24 B26 B28 B30 B32 B34 B36 B38 B40 B42 B44 B46 B48 B50 B52 B54 B56 B58 B60 B62 B64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C34F-6160-4DA8-9E20-45D6FC2B43F7}">
  <sheetPr>
    <tabColor theme="5" tint="-0.499984740745262"/>
  </sheetPr>
  <dimension ref="A1:AD69"/>
  <sheetViews>
    <sheetView workbookViewId="0">
      <pane ySplit="1" topLeftCell="A2" activePane="bottomLeft" state="frozen"/>
      <selection activeCell="N1" sqref="N1"/>
      <selection pane="bottomLeft" activeCell="Q1" sqref="Q1"/>
    </sheetView>
  </sheetViews>
  <sheetFormatPr defaultRowHeight="15" x14ac:dyDescent="0.25"/>
  <cols>
    <col min="1" max="1" width="5.28515625" customWidth="1"/>
    <col min="2" max="2" width="13.85546875" customWidth="1"/>
    <col min="3" max="3" width="11.28515625" customWidth="1"/>
    <col min="4" max="4" width="12.42578125" customWidth="1"/>
    <col min="5" max="5" width="12.7109375" customWidth="1"/>
    <col min="6" max="6" width="11.7109375" customWidth="1"/>
    <col min="7" max="30" width="12.7109375" customWidth="1"/>
  </cols>
  <sheetData>
    <row r="1" spans="1:30" ht="69.95" customHeight="1" thickTop="1" x14ac:dyDescent="0.25">
      <c r="A1" s="13" t="s">
        <v>245</v>
      </c>
      <c r="B1" s="58" t="s">
        <v>336</v>
      </c>
      <c r="C1" s="59" t="s">
        <v>337</v>
      </c>
      <c r="D1" s="58" t="s">
        <v>511</v>
      </c>
      <c r="E1" s="59" t="s">
        <v>512</v>
      </c>
      <c r="F1" s="469" t="s">
        <v>658</v>
      </c>
      <c r="G1" s="529" t="s">
        <v>655</v>
      </c>
      <c r="H1" s="530" t="s">
        <v>562</v>
      </c>
      <c r="I1" s="494" t="s">
        <v>563</v>
      </c>
      <c r="J1" s="531" t="s">
        <v>659</v>
      </c>
      <c r="K1" s="490" t="s">
        <v>656</v>
      </c>
      <c r="L1" s="531" t="s">
        <v>660</v>
      </c>
      <c r="M1" s="532" t="s">
        <v>564</v>
      </c>
      <c r="N1" s="497" t="s">
        <v>565</v>
      </c>
      <c r="O1" s="531" t="s">
        <v>657</v>
      </c>
      <c r="P1" s="491" t="s">
        <v>661</v>
      </c>
      <c r="Q1" s="531" t="s">
        <v>662</v>
      </c>
      <c r="R1" s="533" t="s">
        <v>566</v>
      </c>
      <c r="S1" s="502" t="s">
        <v>568</v>
      </c>
      <c r="T1" s="531" t="s">
        <v>663</v>
      </c>
      <c r="U1" s="490" t="s">
        <v>664</v>
      </c>
      <c r="V1" s="531" t="s">
        <v>665</v>
      </c>
      <c r="W1" s="533" t="s">
        <v>569</v>
      </c>
      <c r="X1" s="502" t="s">
        <v>570</v>
      </c>
      <c r="Y1" s="531" t="s">
        <v>666</v>
      </c>
      <c r="Z1" s="492" t="s">
        <v>667</v>
      </c>
      <c r="AA1" s="531" t="s">
        <v>668</v>
      </c>
      <c r="AB1" s="533" t="s">
        <v>571</v>
      </c>
      <c r="AC1" s="502" t="s">
        <v>572</v>
      </c>
      <c r="AD1" s="531" t="s">
        <v>669</v>
      </c>
    </row>
    <row r="2" spans="1:30"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3"/>
      <c r="M2" s="1103"/>
      <c r="N2" s="1103"/>
      <c r="O2" s="228"/>
      <c r="P2" s="228"/>
      <c r="Q2" s="228"/>
      <c r="R2" s="82"/>
      <c r="S2" s="82"/>
      <c r="T2" s="82"/>
      <c r="U2" s="82"/>
      <c r="V2" s="82"/>
      <c r="W2" s="82"/>
      <c r="X2" s="82"/>
      <c r="Y2" s="82"/>
      <c r="Z2" s="82"/>
      <c r="AA2" s="82"/>
      <c r="AB2" s="82"/>
      <c r="AC2" s="82"/>
      <c r="AD2" s="229"/>
    </row>
    <row r="3" spans="1:30" ht="15.75" x14ac:dyDescent="0.25">
      <c r="A3" s="1105" t="str">
        <f>'BASE GRANTEE INFO &amp; UPDATES'!A2</f>
        <v>FISCAL YEAR: 2025 (09/30/2024 - 09/29/2025)</v>
      </c>
      <c r="B3" s="1106"/>
      <c r="C3" s="1106"/>
      <c r="D3" s="1106"/>
      <c r="E3" s="1106"/>
      <c r="F3" s="1106"/>
      <c r="G3" s="1106"/>
      <c r="H3" s="1106"/>
      <c r="I3" s="1106"/>
      <c r="J3" s="1106"/>
      <c r="K3" s="1106"/>
      <c r="L3" s="1106"/>
      <c r="M3" s="1106"/>
      <c r="N3" s="1106"/>
      <c r="O3" s="82"/>
      <c r="P3" s="82"/>
      <c r="Q3" s="82"/>
      <c r="R3" s="82"/>
      <c r="S3" s="82"/>
      <c r="T3" s="82"/>
      <c r="U3" s="82"/>
      <c r="V3" s="82"/>
      <c r="W3" s="82"/>
      <c r="X3" s="82"/>
      <c r="Y3" s="82"/>
      <c r="Z3" s="82"/>
      <c r="AA3" s="82"/>
      <c r="AB3" s="82"/>
      <c r="AC3" s="82"/>
      <c r="AD3" s="83"/>
    </row>
    <row r="4" spans="1:30" ht="15.75" x14ac:dyDescent="0.25">
      <c r="A4" s="1108" t="str">
        <f>'BASE GRANTEE INFO &amp; UPDATES'!A3</f>
        <v xml:space="preserve">Program reports need to be submitted electronically, via e-mail to BBHReporting@wv.gov  within 25 calendar days of the end of each month </v>
      </c>
      <c r="B4" s="1109"/>
      <c r="C4" s="1109"/>
      <c r="D4" s="1109"/>
      <c r="E4" s="1109"/>
      <c r="F4" s="1109"/>
      <c r="G4" s="1109"/>
      <c r="H4" s="1109"/>
      <c r="I4" s="1109"/>
      <c r="J4" s="1109"/>
      <c r="K4" s="1109"/>
      <c r="L4" s="1109"/>
      <c r="M4" s="1109"/>
      <c r="N4" s="1109"/>
      <c r="O4" s="82"/>
      <c r="P4" s="82"/>
      <c r="Q4" s="82"/>
      <c r="R4" s="82"/>
      <c r="S4" s="82"/>
      <c r="T4" s="82"/>
      <c r="U4" s="82"/>
      <c r="V4" s="82"/>
      <c r="W4" s="82"/>
      <c r="X4" s="82"/>
      <c r="Y4" s="82"/>
      <c r="Z4" s="82"/>
      <c r="AA4" s="82"/>
      <c r="AB4" s="82"/>
      <c r="AC4" s="82"/>
      <c r="AD4" s="83"/>
    </row>
    <row r="5" spans="1:30" ht="18.75" x14ac:dyDescent="0.25">
      <c r="A5" s="1112" t="s">
        <v>670</v>
      </c>
      <c r="B5" s="1112"/>
      <c r="C5" s="1112"/>
      <c r="D5" s="1112"/>
      <c r="E5" s="1112"/>
      <c r="F5" s="1112"/>
      <c r="G5" s="1112"/>
      <c r="H5" s="1112"/>
      <c r="I5" s="1112"/>
      <c r="J5" s="1112"/>
      <c r="K5" s="1112"/>
      <c r="L5" s="1112"/>
      <c r="M5" s="1112"/>
      <c r="N5" s="1112"/>
      <c r="O5" s="82"/>
      <c r="P5" s="82"/>
      <c r="Q5" s="82"/>
      <c r="R5" s="82"/>
      <c r="S5" s="82"/>
      <c r="T5" s="82"/>
      <c r="U5" s="82"/>
      <c r="V5" s="82"/>
      <c r="W5" s="82"/>
      <c r="X5" s="82"/>
      <c r="Y5" s="82"/>
      <c r="Z5" s="82"/>
      <c r="AA5" s="82"/>
      <c r="AB5" s="82"/>
      <c r="AC5" s="82"/>
      <c r="AD5" s="83"/>
    </row>
    <row r="6" spans="1:30" ht="20.100000000000001" customHeight="1" x14ac:dyDescent="0.25">
      <c r="A6" s="1142" t="s">
        <v>0</v>
      </c>
      <c r="B6" s="1142"/>
      <c r="C6" s="1142"/>
      <c r="D6" s="1142"/>
      <c r="E6" s="1152" t="str">
        <f>'BASE GRANTEE INFO &amp; UPDATES'!E5</f>
        <v xml:space="preserve">Community Anti-Drug Coalitions of America (CADCA) and Teen Court </v>
      </c>
      <c r="F6" s="1153"/>
      <c r="G6" s="1153"/>
      <c r="H6" s="1154"/>
      <c r="I6" s="1146" t="s">
        <v>1</v>
      </c>
      <c r="J6" s="1147"/>
      <c r="K6" s="1147"/>
      <c r="L6" s="1148">
        <f>'BASE GRANTEE INFO &amp; UPDATES'!M5</f>
        <v>0</v>
      </c>
      <c r="M6" s="1148"/>
      <c r="N6" s="1148"/>
      <c r="O6" s="82"/>
      <c r="P6" s="82"/>
      <c r="Q6" s="82"/>
      <c r="R6" s="82"/>
      <c r="S6" s="82"/>
      <c r="T6" s="82"/>
      <c r="U6" s="82"/>
      <c r="V6" s="82"/>
      <c r="W6" s="82"/>
      <c r="X6" s="82"/>
      <c r="Y6" s="82"/>
      <c r="Z6" s="82"/>
      <c r="AA6" s="82"/>
      <c r="AB6" s="82"/>
      <c r="AC6" s="82"/>
      <c r="AD6" s="83"/>
    </row>
    <row r="7" spans="1:30" ht="20.100000000000001" customHeight="1" x14ac:dyDescent="0.25">
      <c r="A7" s="1142" t="s">
        <v>2</v>
      </c>
      <c r="B7" s="1142"/>
      <c r="C7" s="1142"/>
      <c r="D7" s="1142"/>
      <c r="E7" s="1143" t="str">
        <f>'BASE GRANTEE INFO &amp; UPDATES'!E6</f>
        <v>CADCA In Action and Teen Court</v>
      </c>
      <c r="F7" s="1144"/>
      <c r="G7" s="1144"/>
      <c r="H7" s="1145"/>
      <c r="I7" s="1146" t="s">
        <v>3</v>
      </c>
      <c r="J7" s="1147"/>
      <c r="K7" s="1147"/>
      <c r="L7" s="1148">
        <f>'BASE GRANTEE INFO &amp; UPDATES'!M6</f>
        <v>0</v>
      </c>
      <c r="M7" s="1148"/>
      <c r="N7" s="1148"/>
      <c r="O7" s="82"/>
      <c r="P7" s="82"/>
      <c r="Q7" s="82"/>
      <c r="R7" s="82"/>
      <c r="S7" s="82"/>
      <c r="T7" s="82"/>
      <c r="U7" s="82"/>
      <c r="V7" s="82"/>
      <c r="W7" s="82"/>
      <c r="X7" s="82"/>
      <c r="Y7" s="82"/>
      <c r="Z7" s="82"/>
      <c r="AA7" s="82"/>
      <c r="AB7" s="82"/>
      <c r="AC7" s="82"/>
      <c r="AD7" s="83"/>
    </row>
    <row r="8" spans="1:30" ht="20.100000000000001" customHeight="1" x14ac:dyDescent="0.25">
      <c r="A8" s="1149" t="s">
        <v>4</v>
      </c>
      <c r="B8" s="1149"/>
      <c r="C8" s="1149"/>
      <c r="D8" s="1149"/>
      <c r="E8" s="1132">
        <f>'BASE GRANTEE INFO &amp; UPDATES'!E7</f>
        <v>0</v>
      </c>
      <c r="F8" s="1133"/>
      <c r="G8" s="1133"/>
      <c r="H8" s="1134"/>
      <c r="I8" s="1146" t="s">
        <v>374</v>
      </c>
      <c r="J8" s="1147"/>
      <c r="K8" s="1147"/>
      <c r="L8" s="1148">
        <f>'BASE GRANTEE INFO &amp; UPDATES'!M7</f>
        <v>0</v>
      </c>
      <c r="M8" s="1148"/>
      <c r="N8" s="1148"/>
      <c r="O8" s="82"/>
      <c r="P8" s="82"/>
      <c r="Q8" s="82"/>
      <c r="R8" s="82"/>
      <c r="S8" s="82"/>
      <c r="T8" s="82"/>
      <c r="U8" s="82"/>
      <c r="V8" s="82"/>
      <c r="W8" s="82"/>
      <c r="X8" s="82"/>
      <c r="Y8" s="82"/>
      <c r="Z8" s="82"/>
      <c r="AA8" s="82"/>
      <c r="AB8" s="82"/>
      <c r="AC8" s="82"/>
      <c r="AD8" s="83"/>
    </row>
    <row r="9" spans="1:30" ht="20.100000000000001" customHeight="1" x14ac:dyDescent="0.25">
      <c r="A9" s="1149"/>
      <c r="B9" s="1149"/>
      <c r="C9" s="1149"/>
      <c r="D9" s="1149"/>
      <c r="E9" s="1135"/>
      <c r="F9" s="1136"/>
      <c r="G9" s="1136"/>
      <c r="H9" s="1137"/>
      <c r="I9" s="1150" t="s">
        <v>6</v>
      </c>
      <c r="J9" s="1151"/>
      <c r="K9" s="1151"/>
      <c r="L9" s="1148">
        <f>'BASE GRANTEE INFO &amp; UPDATES'!M8</f>
        <v>0</v>
      </c>
      <c r="M9" s="1148"/>
      <c r="N9" s="1148"/>
      <c r="O9" s="82"/>
      <c r="P9" s="82"/>
      <c r="Q9" s="82"/>
      <c r="R9" s="82"/>
      <c r="S9" s="82"/>
      <c r="T9" s="82"/>
      <c r="U9" s="82"/>
      <c r="V9" s="82"/>
      <c r="W9" s="82"/>
      <c r="X9" s="82"/>
      <c r="Y9" s="82"/>
      <c r="Z9" s="82"/>
      <c r="AA9" s="82"/>
      <c r="AB9" s="82"/>
      <c r="AC9" s="82"/>
      <c r="AD9" s="83"/>
    </row>
    <row r="10" spans="1:30" ht="20.100000000000001" customHeight="1" x14ac:dyDescent="0.25">
      <c r="A10" s="1142" t="s">
        <v>7</v>
      </c>
      <c r="B10" s="1142"/>
      <c r="C10" s="1142"/>
      <c r="D10" s="1142"/>
      <c r="E10" s="879" t="str">
        <f>'BASE GRANTEE INFO &amp; UPDATES'!E9</f>
        <v>September 1 - 30</v>
      </c>
      <c r="F10" s="879"/>
      <c r="G10" s="1001">
        <f>'BASE GRANTEE INFO &amp; UPDATES'!G9</f>
        <v>2024</v>
      </c>
      <c r="H10" s="1002"/>
      <c r="I10" s="1150" t="s">
        <v>8</v>
      </c>
      <c r="J10" s="1151"/>
      <c r="K10" s="1151"/>
      <c r="L10" s="1148">
        <f>'BASE GRANTEE INFO &amp; UPDATES'!M9</f>
        <v>0</v>
      </c>
      <c r="M10" s="1148"/>
      <c r="N10" s="1148"/>
      <c r="O10" s="82"/>
      <c r="P10" s="82"/>
      <c r="Q10" s="82"/>
      <c r="R10" s="82"/>
      <c r="S10" s="82"/>
      <c r="T10" s="82"/>
      <c r="U10" s="82"/>
      <c r="V10" s="82"/>
      <c r="W10" s="82"/>
      <c r="X10" s="82"/>
      <c r="Y10" s="82"/>
      <c r="Z10" s="82"/>
      <c r="AA10" s="82"/>
      <c r="AB10" s="82"/>
      <c r="AC10" s="82"/>
      <c r="AD10" s="83"/>
    </row>
    <row r="11" spans="1:30" ht="19.5" thickBot="1" x14ac:dyDescent="0.3">
      <c r="A11" s="381" t="s">
        <v>561</v>
      </c>
      <c r="B11" s="381"/>
      <c r="C11" s="381"/>
      <c r="D11" s="381"/>
      <c r="E11" s="381"/>
      <c r="F11" s="381"/>
      <c r="G11" s="381"/>
      <c r="H11" s="381"/>
      <c r="I11" s="230"/>
      <c r="J11" s="231"/>
      <c r="K11" s="231"/>
      <c r="L11" s="231"/>
      <c r="M11" s="231"/>
      <c r="N11" s="231"/>
      <c r="O11" s="231"/>
      <c r="P11" s="231"/>
      <c r="Q11" s="232"/>
      <c r="R11" s="82"/>
      <c r="S11" s="82"/>
      <c r="T11" s="82"/>
      <c r="U11" s="82"/>
      <c r="V11" s="82"/>
      <c r="W11" s="82"/>
      <c r="X11" s="82"/>
      <c r="Y11" s="82"/>
      <c r="Z11" s="82"/>
      <c r="AA11" s="82"/>
      <c r="AB11" s="82"/>
      <c r="AC11" s="82"/>
      <c r="AD11" s="480"/>
    </row>
    <row r="12" spans="1:30" ht="60" customHeight="1" thickTop="1" x14ac:dyDescent="0.25">
      <c r="A12" s="13" t="s">
        <v>245</v>
      </c>
      <c r="B12" s="58" t="s">
        <v>336</v>
      </c>
      <c r="C12" s="59" t="s">
        <v>337</v>
      </c>
      <c r="D12" s="58" t="s">
        <v>511</v>
      </c>
      <c r="E12" s="59" t="s">
        <v>512</v>
      </c>
      <c r="F12" s="469" t="s">
        <v>658</v>
      </c>
      <c r="G12" s="471" t="s">
        <v>655</v>
      </c>
      <c r="H12" s="493" t="s">
        <v>562</v>
      </c>
      <c r="I12" s="494" t="s">
        <v>563</v>
      </c>
      <c r="J12" s="472" t="s">
        <v>659</v>
      </c>
      <c r="K12" s="473" t="s">
        <v>656</v>
      </c>
      <c r="L12" s="472" t="s">
        <v>660</v>
      </c>
      <c r="M12" s="498" t="s">
        <v>564</v>
      </c>
      <c r="N12" s="501" t="s">
        <v>565</v>
      </c>
      <c r="O12" s="472" t="s">
        <v>657</v>
      </c>
      <c r="P12" s="474" t="s">
        <v>661</v>
      </c>
      <c r="Q12" s="472" t="s">
        <v>662</v>
      </c>
      <c r="R12" s="503" t="s">
        <v>567</v>
      </c>
      <c r="S12" s="494" t="s">
        <v>568</v>
      </c>
      <c r="T12" s="472" t="s">
        <v>663</v>
      </c>
      <c r="U12" s="473" t="s">
        <v>664</v>
      </c>
      <c r="V12" s="472" t="s">
        <v>665</v>
      </c>
      <c r="W12" s="503" t="s">
        <v>569</v>
      </c>
      <c r="X12" s="494" t="s">
        <v>570</v>
      </c>
      <c r="Y12" s="472" t="s">
        <v>666</v>
      </c>
      <c r="Z12" s="470" t="s">
        <v>667</v>
      </c>
      <c r="AA12" s="472" t="s">
        <v>668</v>
      </c>
      <c r="AB12" s="503" t="s">
        <v>571</v>
      </c>
      <c r="AC12" s="494" t="s">
        <v>572</v>
      </c>
      <c r="AD12" s="472" t="s">
        <v>669</v>
      </c>
    </row>
    <row r="13" spans="1:30" ht="39.950000000000003" customHeight="1" x14ac:dyDescent="0.25">
      <c r="A13" s="151">
        <f t="shared" ref="A13:A24" si="0">ROW(A1)</f>
        <v>1</v>
      </c>
      <c r="B13" s="110">
        <f>'2DEMOGRAPHICS'!B13</f>
        <v>1</v>
      </c>
      <c r="C13" s="111" t="str">
        <f>'2DEMOGRAPHICS'!C13</f>
        <v>aaaaa11111aaaaa</v>
      </c>
      <c r="D13" s="112">
        <f>'2DEMOGRAPHICS'!D13</f>
        <v>44075</v>
      </c>
      <c r="E13" s="113">
        <f>'2DEMOGRAPHICS'!E13</f>
        <v>44077</v>
      </c>
      <c r="F13" s="475">
        <f>E13+30</f>
        <v>44107</v>
      </c>
      <c r="G13" s="505">
        <v>44150</v>
      </c>
      <c r="H13" s="495" t="s">
        <v>558</v>
      </c>
      <c r="I13" s="507" t="s">
        <v>22</v>
      </c>
      <c r="J13" s="477" t="s">
        <v>100</v>
      </c>
      <c r="K13" s="478">
        <f>E13+60</f>
        <v>44137</v>
      </c>
      <c r="L13" s="476">
        <v>44140</v>
      </c>
      <c r="M13" s="499" t="s">
        <v>558</v>
      </c>
      <c r="N13" s="504" t="s">
        <v>22</v>
      </c>
      <c r="O13" s="477" t="s">
        <v>100</v>
      </c>
      <c r="P13" s="479">
        <f>E13+90</f>
        <v>44167</v>
      </c>
      <c r="Q13" s="476">
        <v>44211</v>
      </c>
      <c r="R13" s="495" t="s">
        <v>558</v>
      </c>
      <c r="S13" s="507" t="s">
        <v>22</v>
      </c>
      <c r="T13" s="477" t="s">
        <v>100</v>
      </c>
      <c r="U13" s="478">
        <f>E13+180</f>
        <v>44257</v>
      </c>
      <c r="V13" s="476"/>
      <c r="W13" s="499" t="s">
        <v>558</v>
      </c>
      <c r="X13" s="504" t="s">
        <v>22</v>
      </c>
      <c r="Y13" s="477" t="s">
        <v>100</v>
      </c>
      <c r="Z13" s="479">
        <f>E13+365</f>
        <v>44442</v>
      </c>
      <c r="AA13" s="476"/>
      <c r="AB13" s="495" t="s">
        <v>558</v>
      </c>
      <c r="AC13" s="504" t="s">
        <v>22</v>
      </c>
      <c r="AD13" s="477" t="s">
        <v>100</v>
      </c>
    </row>
    <row r="14" spans="1:30" ht="39.950000000000003" customHeight="1" x14ac:dyDescent="0.25">
      <c r="A14" s="151">
        <f t="shared" si="0"/>
        <v>2</v>
      </c>
      <c r="B14" s="110">
        <f>'2DEMOGRAPHICS'!B14</f>
        <v>2</v>
      </c>
      <c r="C14" s="111" t="str">
        <f>'2DEMOGRAPHICS'!C14</f>
        <v>aaaaa11111aaaaa</v>
      </c>
      <c r="D14" s="112">
        <f>'2DEMOGRAPHICS'!D14</f>
        <v>44105</v>
      </c>
      <c r="E14" s="113">
        <f>'2DEMOGRAPHICS'!E14</f>
        <v>44107</v>
      </c>
      <c r="F14" s="475">
        <f t="shared" ref="F14:F62" si="1">E14+30</f>
        <v>44137</v>
      </c>
      <c r="G14" s="505">
        <v>44181</v>
      </c>
      <c r="H14" s="495" t="s">
        <v>559</v>
      </c>
      <c r="I14" s="507" t="s">
        <v>22</v>
      </c>
      <c r="J14" s="477" t="s">
        <v>104</v>
      </c>
      <c r="K14" s="478">
        <f t="shared" ref="K14:K62" si="2">E14+60</f>
        <v>44167</v>
      </c>
      <c r="L14" s="476">
        <v>44170</v>
      </c>
      <c r="M14" s="499" t="s">
        <v>559</v>
      </c>
      <c r="N14" s="504" t="s">
        <v>22</v>
      </c>
      <c r="O14" s="477" t="s">
        <v>104</v>
      </c>
      <c r="P14" s="479">
        <f t="shared" ref="P14:P62" si="3">E14+90</f>
        <v>44197</v>
      </c>
      <c r="Q14" s="476">
        <v>44247</v>
      </c>
      <c r="R14" s="495" t="s">
        <v>559</v>
      </c>
      <c r="S14" s="507" t="s">
        <v>22</v>
      </c>
      <c r="T14" s="477" t="s">
        <v>104</v>
      </c>
      <c r="U14" s="478">
        <f t="shared" ref="U14:U62" si="4">E14+180</f>
        <v>44287</v>
      </c>
      <c r="V14" s="476"/>
      <c r="W14" s="499" t="s">
        <v>559</v>
      </c>
      <c r="X14" s="504" t="s">
        <v>22</v>
      </c>
      <c r="Y14" s="477" t="s">
        <v>104</v>
      </c>
      <c r="Z14" s="479">
        <f t="shared" ref="Z14:Z62" si="5">E14+365</f>
        <v>44472</v>
      </c>
      <c r="AA14" s="476"/>
      <c r="AB14" s="495" t="s">
        <v>559</v>
      </c>
      <c r="AC14" s="504" t="s">
        <v>22</v>
      </c>
      <c r="AD14" s="477" t="s">
        <v>104</v>
      </c>
    </row>
    <row r="15" spans="1:30" ht="39.950000000000003" customHeight="1" x14ac:dyDescent="0.25">
      <c r="A15" s="151">
        <f t="shared" si="0"/>
        <v>3</v>
      </c>
      <c r="B15" s="110">
        <f>'2DEMOGRAPHICS'!B15</f>
        <v>3</v>
      </c>
      <c r="C15" s="111" t="str">
        <f>'2DEMOGRAPHICS'!C15</f>
        <v>aaaaa11111aaaaa</v>
      </c>
      <c r="D15" s="112">
        <f>'2DEMOGRAPHICS'!D15</f>
        <v>44136</v>
      </c>
      <c r="E15" s="113">
        <f>'2DEMOGRAPHICS'!E15</f>
        <v>44137</v>
      </c>
      <c r="F15" s="475">
        <f t="shared" si="1"/>
        <v>44167</v>
      </c>
      <c r="G15" s="505">
        <v>44211</v>
      </c>
      <c r="H15" s="495" t="s">
        <v>560</v>
      </c>
      <c r="I15" s="507" t="s">
        <v>22</v>
      </c>
      <c r="J15" s="477" t="s">
        <v>100</v>
      </c>
      <c r="K15" s="478">
        <f t="shared" si="2"/>
        <v>44197</v>
      </c>
      <c r="L15" s="476">
        <v>44201</v>
      </c>
      <c r="M15" s="499" t="s">
        <v>560</v>
      </c>
      <c r="N15" s="504" t="s">
        <v>22</v>
      </c>
      <c r="O15" s="477" t="s">
        <v>100</v>
      </c>
      <c r="P15" s="479">
        <f t="shared" si="3"/>
        <v>44227</v>
      </c>
      <c r="Q15" s="476">
        <v>44275</v>
      </c>
      <c r="R15" s="495" t="s">
        <v>560</v>
      </c>
      <c r="S15" s="507" t="s">
        <v>22</v>
      </c>
      <c r="T15" s="477" t="s">
        <v>100</v>
      </c>
      <c r="U15" s="478">
        <f t="shared" si="4"/>
        <v>44317</v>
      </c>
      <c r="V15" s="476"/>
      <c r="W15" s="499" t="s">
        <v>560</v>
      </c>
      <c r="X15" s="504" t="s">
        <v>22</v>
      </c>
      <c r="Y15" s="477" t="s">
        <v>100</v>
      </c>
      <c r="Z15" s="479">
        <f t="shared" si="5"/>
        <v>44502</v>
      </c>
      <c r="AA15" s="476"/>
      <c r="AB15" s="495" t="s">
        <v>560</v>
      </c>
      <c r="AC15" s="504" t="s">
        <v>22</v>
      </c>
      <c r="AD15" s="477" t="s">
        <v>100</v>
      </c>
    </row>
    <row r="16" spans="1:30" ht="39.950000000000003" customHeight="1" x14ac:dyDescent="0.25">
      <c r="A16" s="151">
        <f t="shared" si="0"/>
        <v>4</v>
      </c>
      <c r="B16" s="110">
        <f>'2DEMOGRAPHICS'!B16</f>
        <v>4</v>
      </c>
      <c r="C16" s="111" t="str">
        <f>'2DEMOGRAPHICS'!C16</f>
        <v>aaaaa11111aaaaa</v>
      </c>
      <c r="D16" s="112">
        <f>'2DEMOGRAPHICS'!D16</f>
        <v>44166</v>
      </c>
      <c r="E16" s="113">
        <f>'2DEMOGRAPHICS'!E16</f>
        <v>44170</v>
      </c>
      <c r="F16" s="475">
        <f t="shared" si="1"/>
        <v>44200</v>
      </c>
      <c r="G16" s="505">
        <v>44242</v>
      </c>
      <c r="H16" s="495" t="s">
        <v>558</v>
      </c>
      <c r="I16" s="507" t="s">
        <v>22</v>
      </c>
      <c r="J16" s="477" t="s">
        <v>104</v>
      </c>
      <c r="K16" s="478">
        <f t="shared" si="2"/>
        <v>44230</v>
      </c>
      <c r="L16" s="476">
        <v>44232</v>
      </c>
      <c r="M16" s="499" t="s">
        <v>558</v>
      </c>
      <c r="N16" s="504" t="s">
        <v>22</v>
      </c>
      <c r="O16" s="477" t="s">
        <v>104</v>
      </c>
      <c r="P16" s="479">
        <f t="shared" si="3"/>
        <v>44260</v>
      </c>
      <c r="Q16" s="476">
        <v>44296</v>
      </c>
      <c r="R16" s="495" t="s">
        <v>558</v>
      </c>
      <c r="S16" s="507" t="s">
        <v>22</v>
      </c>
      <c r="T16" s="477" t="s">
        <v>104</v>
      </c>
      <c r="U16" s="478">
        <f t="shared" si="4"/>
        <v>44350</v>
      </c>
      <c r="V16" s="476"/>
      <c r="W16" s="499" t="s">
        <v>558</v>
      </c>
      <c r="X16" s="504" t="s">
        <v>22</v>
      </c>
      <c r="Y16" s="477" t="s">
        <v>104</v>
      </c>
      <c r="Z16" s="479">
        <f t="shared" si="5"/>
        <v>44535</v>
      </c>
      <c r="AA16" s="476"/>
      <c r="AB16" s="495" t="s">
        <v>558</v>
      </c>
      <c r="AC16" s="504" t="s">
        <v>22</v>
      </c>
      <c r="AD16" s="477" t="s">
        <v>104</v>
      </c>
    </row>
    <row r="17" spans="1:30" ht="39.950000000000003" customHeight="1" x14ac:dyDescent="0.25">
      <c r="A17" s="151">
        <f t="shared" si="0"/>
        <v>5</v>
      </c>
      <c r="B17" s="110">
        <f>'2DEMOGRAPHICS'!B17</f>
        <v>5</v>
      </c>
      <c r="C17" s="111" t="str">
        <f>'2DEMOGRAPHICS'!C17</f>
        <v>aaaaa11111aaaaa</v>
      </c>
      <c r="D17" s="112">
        <f>'2DEMOGRAPHICS'!D17</f>
        <v>44197</v>
      </c>
      <c r="E17" s="113">
        <f>'2DEMOGRAPHICS'!E17</f>
        <v>44201</v>
      </c>
      <c r="F17" s="475">
        <f t="shared" si="1"/>
        <v>44231</v>
      </c>
      <c r="G17" s="505">
        <v>44270</v>
      </c>
      <c r="H17" s="495" t="s">
        <v>559</v>
      </c>
      <c r="I17" s="507" t="s">
        <v>22</v>
      </c>
      <c r="J17" s="477" t="s">
        <v>100</v>
      </c>
      <c r="K17" s="478">
        <f t="shared" si="2"/>
        <v>44261</v>
      </c>
      <c r="L17" s="476">
        <v>44258</v>
      </c>
      <c r="M17" s="499" t="s">
        <v>559</v>
      </c>
      <c r="N17" s="504" t="s">
        <v>22</v>
      </c>
      <c r="O17" s="477" t="s">
        <v>100</v>
      </c>
      <c r="P17" s="479">
        <f t="shared" si="3"/>
        <v>44291</v>
      </c>
      <c r="Q17" s="476">
        <v>44326</v>
      </c>
      <c r="R17" s="495" t="s">
        <v>559</v>
      </c>
      <c r="S17" s="507" t="s">
        <v>22</v>
      </c>
      <c r="T17" s="477" t="s">
        <v>100</v>
      </c>
      <c r="U17" s="478">
        <f t="shared" si="4"/>
        <v>44381</v>
      </c>
      <c r="V17" s="476"/>
      <c r="W17" s="499" t="s">
        <v>559</v>
      </c>
      <c r="X17" s="504" t="s">
        <v>22</v>
      </c>
      <c r="Y17" s="477" t="s">
        <v>100</v>
      </c>
      <c r="Z17" s="479">
        <f t="shared" si="5"/>
        <v>44566</v>
      </c>
      <c r="AA17" s="476"/>
      <c r="AB17" s="495" t="s">
        <v>559</v>
      </c>
      <c r="AC17" s="504" t="s">
        <v>22</v>
      </c>
      <c r="AD17" s="477" t="s">
        <v>100</v>
      </c>
    </row>
    <row r="18" spans="1:30" ht="39.950000000000003" customHeight="1" x14ac:dyDescent="0.25">
      <c r="A18" s="151">
        <f t="shared" si="0"/>
        <v>6</v>
      </c>
      <c r="B18" s="110">
        <f>'2DEMOGRAPHICS'!B18</f>
        <v>6</v>
      </c>
      <c r="C18" s="111" t="str">
        <f>'2DEMOGRAPHICS'!C18</f>
        <v>aaaaa11111aaaaa</v>
      </c>
      <c r="D18" s="112">
        <f>'2DEMOGRAPHICS'!D18</f>
        <v>44228</v>
      </c>
      <c r="E18" s="113">
        <f>'2DEMOGRAPHICS'!E18</f>
        <v>44230</v>
      </c>
      <c r="F18" s="475">
        <f t="shared" si="1"/>
        <v>44260</v>
      </c>
      <c r="G18" s="505">
        <v>44301</v>
      </c>
      <c r="H18" s="495" t="s">
        <v>560</v>
      </c>
      <c r="I18" s="507" t="s">
        <v>22</v>
      </c>
      <c r="J18" s="477" t="s">
        <v>104</v>
      </c>
      <c r="K18" s="478">
        <f t="shared" si="2"/>
        <v>44290</v>
      </c>
      <c r="L18" s="476">
        <v>44291</v>
      </c>
      <c r="M18" s="499" t="s">
        <v>560</v>
      </c>
      <c r="N18" s="504" t="s">
        <v>22</v>
      </c>
      <c r="O18" s="477" t="s">
        <v>104</v>
      </c>
      <c r="P18" s="479">
        <f t="shared" si="3"/>
        <v>44320</v>
      </c>
      <c r="Q18" s="476">
        <v>44358</v>
      </c>
      <c r="R18" s="495" t="s">
        <v>560</v>
      </c>
      <c r="S18" s="507" t="s">
        <v>22</v>
      </c>
      <c r="T18" s="477" t="s">
        <v>104</v>
      </c>
      <c r="U18" s="478">
        <f t="shared" si="4"/>
        <v>44410</v>
      </c>
      <c r="V18" s="476"/>
      <c r="W18" s="499" t="s">
        <v>560</v>
      </c>
      <c r="X18" s="504" t="s">
        <v>22</v>
      </c>
      <c r="Y18" s="477" t="s">
        <v>104</v>
      </c>
      <c r="Z18" s="479">
        <f t="shared" si="5"/>
        <v>44595</v>
      </c>
      <c r="AA18" s="476"/>
      <c r="AB18" s="495" t="s">
        <v>560</v>
      </c>
      <c r="AC18" s="504" t="s">
        <v>22</v>
      </c>
      <c r="AD18" s="477" t="s">
        <v>104</v>
      </c>
    </row>
    <row r="19" spans="1:30" ht="39.950000000000003" customHeight="1" x14ac:dyDescent="0.25">
      <c r="A19" s="151">
        <f t="shared" si="0"/>
        <v>7</v>
      </c>
      <c r="B19" s="110">
        <f>'2DEMOGRAPHICS'!B19</f>
        <v>7</v>
      </c>
      <c r="C19" s="111" t="str">
        <f>'2DEMOGRAPHICS'!C19</f>
        <v>aaaaa11111aaaaa</v>
      </c>
      <c r="D19" s="112">
        <f>'2DEMOGRAPHICS'!D19</f>
        <v>44256</v>
      </c>
      <c r="E19" s="113">
        <f>'2DEMOGRAPHICS'!E19</f>
        <v>44259</v>
      </c>
      <c r="F19" s="475">
        <f t="shared" si="1"/>
        <v>44289</v>
      </c>
      <c r="G19" s="505">
        <v>44332</v>
      </c>
      <c r="H19" s="495" t="s">
        <v>558</v>
      </c>
      <c r="I19" s="507" t="s">
        <v>22</v>
      </c>
      <c r="J19" s="477" t="s">
        <v>100</v>
      </c>
      <c r="K19" s="478">
        <f t="shared" si="2"/>
        <v>44319</v>
      </c>
      <c r="L19" s="476">
        <v>44317</v>
      </c>
      <c r="M19" s="499" t="s">
        <v>558</v>
      </c>
      <c r="N19" s="504" t="s">
        <v>22</v>
      </c>
      <c r="O19" s="477" t="s">
        <v>100</v>
      </c>
      <c r="P19" s="479">
        <f t="shared" si="3"/>
        <v>44349</v>
      </c>
      <c r="Q19" s="476">
        <v>44392</v>
      </c>
      <c r="R19" s="495" t="s">
        <v>558</v>
      </c>
      <c r="S19" s="507" t="s">
        <v>22</v>
      </c>
      <c r="T19" s="477" t="s">
        <v>100</v>
      </c>
      <c r="U19" s="478">
        <f t="shared" si="4"/>
        <v>44439</v>
      </c>
      <c r="V19" s="476"/>
      <c r="W19" s="499" t="s">
        <v>558</v>
      </c>
      <c r="X19" s="504" t="s">
        <v>22</v>
      </c>
      <c r="Y19" s="477" t="s">
        <v>100</v>
      </c>
      <c r="Z19" s="479">
        <f t="shared" si="5"/>
        <v>44624</v>
      </c>
      <c r="AA19" s="476"/>
      <c r="AB19" s="495" t="s">
        <v>558</v>
      </c>
      <c r="AC19" s="504" t="s">
        <v>22</v>
      </c>
      <c r="AD19" s="477" t="s">
        <v>100</v>
      </c>
    </row>
    <row r="20" spans="1:30" ht="39.950000000000003" customHeight="1" x14ac:dyDescent="0.25">
      <c r="A20" s="151">
        <f t="shared" si="0"/>
        <v>8</v>
      </c>
      <c r="B20" s="110">
        <f>'2DEMOGRAPHICS'!B20</f>
        <v>8</v>
      </c>
      <c r="C20" s="111" t="str">
        <f>'2DEMOGRAPHICS'!C20</f>
        <v>aaaaa11111aaaaa</v>
      </c>
      <c r="D20" s="112">
        <f>'2DEMOGRAPHICS'!D20</f>
        <v>44287</v>
      </c>
      <c r="E20" s="113">
        <f>'2DEMOGRAPHICS'!E20</f>
        <v>44291</v>
      </c>
      <c r="F20" s="475">
        <f t="shared" si="1"/>
        <v>44321</v>
      </c>
      <c r="G20" s="505">
        <v>44362</v>
      </c>
      <c r="H20" s="495" t="s">
        <v>559</v>
      </c>
      <c r="I20" s="507" t="s">
        <v>22</v>
      </c>
      <c r="J20" s="477" t="s">
        <v>104</v>
      </c>
      <c r="K20" s="478">
        <f t="shared" si="2"/>
        <v>44351</v>
      </c>
      <c r="L20" s="476">
        <v>44351</v>
      </c>
      <c r="M20" s="499" t="s">
        <v>559</v>
      </c>
      <c r="N20" s="504" t="s">
        <v>22</v>
      </c>
      <c r="O20" s="477" t="s">
        <v>104</v>
      </c>
      <c r="P20" s="479">
        <f t="shared" si="3"/>
        <v>44381</v>
      </c>
      <c r="Q20" s="476">
        <v>44423</v>
      </c>
      <c r="R20" s="495" t="s">
        <v>559</v>
      </c>
      <c r="S20" s="507" t="s">
        <v>22</v>
      </c>
      <c r="T20" s="477" t="s">
        <v>104</v>
      </c>
      <c r="U20" s="478">
        <f t="shared" si="4"/>
        <v>44471</v>
      </c>
      <c r="V20" s="476"/>
      <c r="W20" s="499" t="s">
        <v>559</v>
      </c>
      <c r="X20" s="504" t="s">
        <v>22</v>
      </c>
      <c r="Y20" s="477" t="s">
        <v>104</v>
      </c>
      <c r="Z20" s="479">
        <f t="shared" si="5"/>
        <v>44656</v>
      </c>
      <c r="AA20" s="476"/>
      <c r="AB20" s="495" t="s">
        <v>559</v>
      </c>
      <c r="AC20" s="504" t="s">
        <v>22</v>
      </c>
      <c r="AD20" s="477" t="s">
        <v>104</v>
      </c>
    </row>
    <row r="21" spans="1:30" ht="39.950000000000003" customHeight="1" x14ac:dyDescent="0.25">
      <c r="A21" s="151">
        <f t="shared" si="0"/>
        <v>9</v>
      </c>
      <c r="B21" s="110">
        <f>'2DEMOGRAPHICS'!B21</f>
        <v>9</v>
      </c>
      <c r="C21" s="111" t="str">
        <f>'2DEMOGRAPHICS'!C21</f>
        <v>aaaaa11111aaaaa</v>
      </c>
      <c r="D21" s="112">
        <f>'2DEMOGRAPHICS'!D21</f>
        <v>44317</v>
      </c>
      <c r="E21" s="113">
        <f>'2DEMOGRAPHICS'!E21</f>
        <v>44319</v>
      </c>
      <c r="F21" s="475">
        <f t="shared" si="1"/>
        <v>44349</v>
      </c>
      <c r="G21" s="505">
        <v>44393</v>
      </c>
      <c r="H21" s="495" t="s">
        <v>560</v>
      </c>
      <c r="I21" s="507" t="s">
        <v>22</v>
      </c>
      <c r="J21" s="477" t="s">
        <v>100</v>
      </c>
      <c r="K21" s="478">
        <f t="shared" si="2"/>
        <v>44379</v>
      </c>
      <c r="L21" s="476">
        <v>44380</v>
      </c>
      <c r="M21" s="499" t="s">
        <v>560</v>
      </c>
      <c r="N21" s="504" t="s">
        <v>22</v>
      </c>
      <c r="O21" s="477" t="s">
        <v>100</v>
      </c>
      <c r="P21" s="479">
        <f t="shared" si="3"/>
        <v>44409</v>
      </c>
      <c r="Q21" s="476">
        <v>44360</v>
      </c>
      <c r="R21" s="495" t="s">
        <v>560</v>
      </c>
      <c r="S21" s="507" t="s">
        <v>22</v>
      </c>
      <c r="T21" s="477" t="s">
        <v>100</v>
      </c>
      <c r="U21" s="478">
        <f t="shared" si="4"/>
        <v>44499</v>
      </c>
      <c r="V21" s="476"/>
      <c r="W21" s="499" t="s">
        <v>560</v>
      </c>
      <c r="X21" s="504" t="s">
        <v>22</v>
      </c>
      <c r="Y21" s="477" t="s">
        <v>100</v>
      </c>
      <c r="Z21" s="479">
        <f t="shared" si="5"/>
        <v>44684</v>
      </c>
      <c r="AA21" s="476"/>
      <c r="AB21" s="495" t="s">
        <v>560</v>
      </c>
      <c r="AC21" s="504" t="s">
        <v>22</v>
      </c>
      <c r="AD21" s="477" t="s">
        <v>100</v>
      </c>
    </row>
    <row r="22" spans="1:30" ht="39.950000000000003" customHeight="1" x14ac:dyDescent="0.25">
      <c r="A22" s="151">
        <f t="shared" si="0"/>
        <v>10</v>
      </c>
      <c r="B22" s="110">
        <f>'2DEMOGRAPHICS'!B22</f>
        <v>10</v>
      </c>
      <c r="C22" s="111" t="str">
        <f>'2DEMOGRAPHICS'!C22</f>
        <v>aaaaa11111aaaaa</v>
      </c>
      <c r="D22" s="112">
        <f>'2DEMOGRAPHICS'!D22</f>
        <v>44348</v>
      </c>
      <c r="E22" s="113">
        <f>'2DEMOGRAPHICS'!E22</f>
        <v>44351</v>
      </c>
      <c r="F22" s="475">
        <f t="shared" si="1"/>
        <v>44381</v>
      </c>
      <c r="G22" s="505">
        <v>44423</v>
      </c>
      <c r="H22" s="495" t="s">
        <v>558</v>
      </c>
      <c r="I22" s="507" t="s">
        <v>22</v>
      </c>
      <c r="J22" s="477" t="s">
        <v>104</v>
      </c>
      <c r="K22" s="478">
        <f t="shared" si="2"/>
        <v>44411</v>
      </c>
      <c r="L22" s="476">
        <v>44412</v>
      </c>
      <c r="M22" s="499" t="s">
        <v>558</v>
      </c>
      <c r="N22" s="504" t="s">
        <v>22</v>
      </c>
      <c r="O22" s="477" t="s">
        <v>104</v>
      </c>
      <c r="P22" s="479">
        <f t="shared" si="3"/>
        <v>44441</v>
      </c>
      <c r="Q22" s="476">
        <v>44444</v>
      </c>
      <c r="R22" s="495" t="s">
        <v>558</v>
      </c>
      <c r="S22" s="507" t="s">
        <v>22</v>
      </c>
      <c r="T22" s="477" t="s">
        <v>104</v>
      </c>
      <c r="U22" s="478">
        <f t="shared" si="4"/>
        <v>44531</v>
      </c>
      <c r="V22" s="476"/>
      <c r="W22" s="499" t="s">
        <v>558</v>
      </c>
      <c r="X22" s="504" t="s">
        <v>22</v>
      </c>
      <c r="Y22" s="477" t="s">
        <v>104</v>
      </c>
      <c r="Z22" s="479">
        <f t="shared" si="5"/>
        <v>44716</v>
      </c>
      <c r="AA22" s="476"/>
      <c r="AB22" s="495" t="s">
        <v>558</v>
      </c>
      <c r="AC22" s="504" t="s">
        <v>22</v>
      </c>
      <c r="AD22" s="477" t="s">
        <v>104</v>
      </c>
    </row>
    <row r="23" spans="1:30" ht="39.950000000000003" customHeight="1" x14ac:dyDescent="0.25">
      <c r="A23" s="151">
        <f t="shared" si="0"/>
        <v>11</v>
      </c>
      <c r="B23" s="110">
        <f>'2DEMOGRAPHICS'!B23</f>
        <v>11</v>
      </c>
      <c r="C23" s="111" t="str">
        <f>'2DEMOGRAPHICS'!C23</f>
        <v>aaaaa11111aaaaa</v>
      </c>
      <c r="D23" s="112">
        <f>'2DEMOGRAPHICS'!D23</f>
        <v>44378</v>
      </c>
      <c r="E23" s="113">
        <f>'2DEMOGRAPHICS'!E23</f>
        <v>44379</v>
      </c>
      <c r="F23" s="475">
        <f t="shared" si="1"/>
        <v>44409</v>
      </c>
      <c r="G23" s="505">
        <v>44453</v>
      </c>
      <c r="H23" s="495" t="s">
        <v>559</v>
      </c>
      <c r="I23" s="507" t="s">
        <v>22</v>
      </c>
      <c r="J23" s="477" t="s">
        <v>100</v>
      </c>
      <c r="K23" s="478">
        <f t="shared" si="2"/>
        <v>44439</v>
      </c>
      <c r="L23" s="476">
        <v>44439</v>
      </c>
      <c r="M23" s="499" t="s">
        <v>559</v>
      </c>
      <c r="N23" s="504" t="s">
        <v>22</v>
      </c>
      <c r="O23" s="477" t="s">
        <v>100</v>
      </c>
      <c r="P23" s="479">
        <f t="shared" si="3"/>
        <v>44469</v>
      </c>
      <c r="Q23" s="476">
        <v>44515</v>
      </c>
      <c r="R23" s="495" t="s">
        <v>559</v>
      </c>
      <c r="S23" s="507" t="s">
        <v>22</v>
      </c>
      <c r="T23" s="477" t="s">
        <v>100</v>
      </c>
      <c r="U23" s="478">
        <f t="shared" si="4"/>
        <v>44559</v>
      </c>
      <c r="V23" s="476"/>
      <c r="W23" s="499" t="s">
        <v>559</v>
      </c>
      <c r="X23" s="504" t="s">
        <v>22</v>
      </c>
      <c r="Y23" s="477" t="s">
        <v>100</v>
      </c>
      <c r="Z23" s="479">
        <f t="shared" si="5"/>
        <v>44744</v>
      </c>
      <c r="AA23" s="476"/>
      <c r="AB23" s="495" t="s">
        <v>559</v>
      </c>
      <c r="AC23" s="504" t="s">
        <v>22</v>
      </c>
      <c r="AD23" s="477" t="s">
        <v>100</v>
      </c>
    </row>
    <row r="24" spans="1:30" ht="39.950000000000003" customHeight="1" x14ac:dyDescent="0.25">
      <c r="A24" s="151">
        <f t="shared" si="0"/>
        <v>12</v>
      </c>
      <c r="B24" s="110">
        <f>'2DEMOGRAPHICS'!B24</f>
        <v>12</v>
      </c>
      <c r="C24" s="111" t="str">
        <f>'2DEMOGRAPHICS'!C24</f>
        <v>aaaaa11111aaaaa</v>
      </c>
      <c r="D24" s="112">
        <f>'2DEMOGRAPHICS'!D24</f>
        <v>44409</v>
      </c>
      <c r="E24" s="113">
        <f>'2DEMOGRAPHICS'!E24</f>
        <v>44412</v>
      </c>
      <c r="F24" s="475">
        <f t="shared" si="1"/>
        <v>44442</v>
      </c>
      <c r="G24" s="505">
        <v>44484</v>
      </c>
      <c r="H24" s="495" t="s">
        <v>560</v>
      </c>
      <c r="I24" s="507" t="s">
        <v>22</v>
      </c>
      <c r="J24" s="477" t="s">
        <v>104</v>
      </c>
      <c r="K24" s="478">
        <f t="shared" si="2"/>
        <v>44472</v>
      </c>
      <c r="L24" s="476">
        <v>44473</v>
      </c>
      <c r="M24" s="499" t="s">
        <v>560</v>
      </c>
      <c r="N24" s="504" t="s">
        <v>22</v>
      </c>
      <c r="O24" s="477" t="s">
        <v>104</v>
      </c>
      <c r="P24" s="479">
        <f t="shared" si="3"/>
        <v>44502</v>
      </c>
      <c r="Q24" s="476">
        <v>44545</v>
      </c>
      <c r="R24" s="495" t="s">
        <v>560</v>
      </c>
      <c r="S24" s="507" t="s">
        <v>22</v>
      </c>
      <c r="T24" s="477" t="s">
        <v>104</v>
      </c>
      <c r="U24" s="478">
        <f t="shared" si="4"/>
        <v>44592</v>
      </c>
      <c r="V24" s="476"/>
      <c r="W24" s="499" t="s">
        <v>560</v>
      </c>
      <c r="X24" s="504" t="s">
        <v>22</v>
      </c>
      <c r="Y24" s="477" t="s">
        <v>104</v>
      </c>
      <c r="Z24" s="479">
        <f t="shared" si="5"/>
        <v>44777</v>
      </c>
      <c r="AA24" s="476"/>
      <c r="AB24" s="495" t="s">
        <v>560</v>
      </c>
      <c r="AC24" s="504" t="s">
        <v>22</v>
      </c>
      <c r="AD24" s="477" t="s">
        <v>104</v>
      </c>
    </row>
    <row r="25" spans="1:30" ht="39.950000000000003" customHeight="1" x14ac:dyDescent="0.25">
      <c r="A25" s="151">
        <f t="shared" ref="A25:A62" si="6">ROW(A13)</f>
        <v>13</v>
      </c>
      <c r="B25" s="110">
        <f>'2DEMOGRAPHICS'!B25</f>
        <v>13</v>
      </c>
      <c r="C25" s="111" t="str">
        <f>'2DEMOGRAPHICS'!C25</f>
        <v>aaaaa11111aaaaa</v>
      </c>
      <c r="D25" s="112">
        <f>'2DEMOGRAPHICS'!D25</f>
        <v>44075</v>
      </c>
      <c r="E25" s="113">
        <f>'2DEMOGRAPHICS'!E25</f>
        <v>44077</v>
      </c>
      <c r="F25" s="475">
        <f t="shared" si="1"/>
        <v>44107</v>
      </c>
      <c r="G25" s="505">
        <v>44150</v>
      </c>
      <c r="H25" s="495" t="s">
        <v>558</v>
      </c>
      <c r="I25" s="507" t="s">
        <v>22</v>
      </c>
      <c r="J25" s="477" t="s">
        <v>100</v>
      </c>
      <c r="K25" s="478">
        <f t="shared" si="2"/>
        <v>44137</v>
      </c>
      <c r="L25" s="476">
        <v>44138</v>
      </c>
      <c r="M25" s="499" t="s">
        <v>558</v>
      </c>
      <c r="N25" s="504" t="s">
        <v>22</v>
      </c>
      <c r="O25" s="477" t="s">
        <v>100</v>
      </c>
      <c r="P25" s="479">
        <f t="shared" si="3"/>
        <v>44167</v>
      </c>
      <c r="Q25" s="476">
        <v>44211</v>
      </c>
      <c r="R25" s="495" t="s">
        <v>558</v>
      </c>
      <c r="S25" s="507" t="s">
        <v>22</v>
      </c>
      <c r="T25" s="477" t="s">
        <v>100</v>
      </c>
      <c r="U25" s="478">
        <f t="shared" si="4"/>
        <v>44257</v>
      </c>
      <c r="V25" s="476"/>
      <c r="W25" s="499" t="s">
        <v>558</v>
      </c>
      <c r="X25" s="504" t="s">
        <v>22</v>
      </c>
      <c r="Y25" s="477" t="s">
        <v>100</v>
      </c>
      <c r="Z25" s="479">
        <f t="shared" si="5"/>
        <v>44442</v>
      </c>
      <c r="AA25" s="476"/>
      <c r="AB25" s="495" t="s">
        <v>558</v>
      </c>
      <c r="AC25" s="504" t="s">
        <v>22</v>
      </c>
      <c r="AD25" s="477" t="s">
        <v>100</v>
      </c>
    </row>
    <row r="26" spans="1:30" ht="39.950000000000003" customHeight="1" x14ac:dyDescent="0.25">
      <c r="A26" s="151">
        <f t="shared" si="6"/>
        <v>14</v>
      </c>
      <c r="B26" s="110">
        <f>'2DEMOGRAPHICS'!B26</f>
        <v>14</v>
      </c>
      <c r="C26" s="111" t="str">
        <f>'2DEMOGRAPHICS'!C26</f>
        <v>aaaaa11111aaaaa</v>
      </c>
      <c r="D26" s="112">
        <f>'2DEMOGRAPHICS'!D26</f>
        <v>44105</v>
      </c>
      <c r="E26" s="113">
        <f>'2DEMOGRAPHICS'!E26</f>
        <v>44077</v>
      </c>
      <c r="F26" s="475">
        <f t="shared" si="1"/>
        <v>44107</v>
      </c>
      <c r="G26" s="505">
        <v>44181</v>
      </c>
      <c r="H26" s="495" t="s">
        <v>559</v>
      </c>
      <c r="I26" s="507" t="s">
        <v>22</v>
      </c>
      <c r="J26" s="477" t="s">
        <v>104</v>
      </c>
      <c r="K26" s="478">
        <f t="shared" si="2"/>
        <v>44137</v>
      </c>
      <c r="L26" s="476">
        <v>44137</v>
      </c>
      <c r="M26" s="499" t="s">
        <v>559</v>
      </c>
      <c r="N26" s="504" t="s">
        <v>22</v>
      </c>
      <c r="O26" s="477" t="s">
        <v>104</v>
      </c>
      <c r="P26" s="479">
        <f t="shared" si="3"/>
        <v>44167</v>
      </c>
      <c r="Q26" s="476">
        <v>44247</v>
      </c>
      <c r="R26" s="495" t="s">
        <v>559</v>
      </c>
      <c r="S26" s="507" t="s">
        <v>22</v>
      </c>
      <c r="T26" s="477" t="s">
        <v>104</v>
      </c>
      <c r="U26" s="478">
        <f t="shared" si="4"/>
        <v>44257</v>
      </c>
      <c r="V26" s="476"/>
      <c r="W26" s="499" t="s">
        <v>559</v>
      </c>
      <c r="X26" s="504" t="s">
        <v>22</v>
      </c>
      <c r="Y26" s="477" t="s">
        <v>104</v>
      </c>
      <c r="Z26" s="479">
        <f t="shared" si="5"/>
        <v>44442</v>
      </c>
      <c r="AA26" s="476"/>
      <c r="AB26" s="495" t="s">
        <v>559</v>
      </c>
      <c r="AC26" s="504" t="s">
        <v>22</v>
      </c>
      <c r="AD26" s="477" t="s">
        <v>104</v>
      </c>
    </row>
    <row r="27" spans="1:30" ht="39.950000000000003" customHeight="1" x14ac:dyDescent="0.25">
      <c r="A27" s="151">
        <f t="shared" si="6"/>
        <v>15</v>
      </c>
      <c r="B27" s="110">
        <f>'2DEMOGRAPHICS'!B27</f>
        <v>15</v>
      </c>
      <c r="C27" s="111" t="str">
        <f>'2DEMOGRAPHICS'!C27</f>
        <v>aaaaa11111aaaaa</v>
      </c>
      <c r="D27" s="112">
        <f>'2DEMOGRAPHICS'!D27</f>
        <v>44136</v>
      </c>
      <c r="E27" s="113">
        <f>'2DEMOGRAPHICS'!E27</f>
        <v>44137</v>
      </c>
      <c r="F27" s="475">
        <f t="shared" si="1"/>
        <v>44167</v>
      </c>
      <c r="G27" s="505">
        <v>44211</v>
      </c>
      <c r="H27" s="495" t="s">
        <v>560</v>
      </c>
      <c r="I27" s="507" t="s">
        <v>22</v>
      </c>
      <c r="J27" s="477" t="s">
        <v>100</v>
      </c>
      <c r="K27" s="478">
        <f t="shared" si="2"/>
        <v>44197</v>
      </c>
      <c r="L27" s="476">
        <v>44197</v>
      </c>
      <c r="M27" s="499" t="s">
        <v>560</v>
      </c>
      <c r="N27" s="504" t="s">
        <v>22</v>
      </c>
      <c r="O27" s="477" t="s">
        <v>100</v>
      </c>
      <c r="P27" s="479">
        <f t="shared" si="3"/>
        <v>44227</v>
      </c>
      <c r="Q27" s="476">
        <v>44275</v>
      </c>
      <c r="R27" s="495" t="s">
        <v>560</v>
      </c>
      <c r="S27" s="507" t="s">
        <v>22</v>
      </c>
      <c r="T27" s="477" t="s">
        <v>100</v>
      </c>
      <c r="U27" s="478">
        <f t="shared" si="4"/>
        <v>44317</v>
      </c>
      <c r="V27" s="476"/>
      <c r="W27" s="499" t="s">
        <v>560</v>
      </c>
      <c r="X27" s="504" t="s">
        <v>22</v>
      </c>
      <c r="Y27" s="477" t="s">
        <v>100</v>
      </c>
      <c r="Z27" s="479">
        <f t="shared" si="5"/>
        <v>44502</v>
      </c>
      <c r="AA27" s="476"/>
      <c r="AB27" s="495" t="s">
        <v>560</v>
      </c>
      <c r="AC27" s="504" t="s">
        <v>22</v>
      </c>
      <c r="AD27" s="477" t="s">
        <v>100</v>
      </c>
    </row>
    <row r="28" spans="1:30" ht="39.950000000000003" customHeight="1" x14ac:dyDescent="0.25">
      <c r="A28" s="151">
        <f t="shared" si="6"/>
        <v>16</v>
      </c>
      <c r="B28" s="110">
        <f>'2DEMOGRAPHICS'!B28</f>
        <v>16</v>
      </c>
      <c r="C28" s="111" t="str">
        <f>'2DEMOGRAPHICS'!C28</f>
        <v>aaaaa11111aaaaa</v>
      </c>
      <c r="D28" s="112">
        <f>'2DEMOGRAPHICS'!D28</f>
        <v>44166</v>
      </c>
      <c r="E28" s="113">
        <f>'2DEMOGRAPHICS'!E28</f>
        <v>44170</v>
      </c>
      <c r="F28" s="475">
        <f t="shared" si="1"/>
        <v>44200</v>
      </c>
      <c r="G28" s="505">
        <v>44242</v>
      </c>
      <c r="H28" s="495" t="s">
        <v>558</v>
      </c>
      <c r="I28" s="507" t="s">
        <v>22</v>
      </c>
      <c r="J28" s="477" t="s">
        <v>104</v>
      </c>
      <c r="K28" s="478">
        <f t="shared" si="2"/>
        <v>44230</v>
      </c>
      <c r="L28" s="476">
        <v>44230</v>
      </c>
      <c r="M28" s="499" t="s">
        <v>558</v>
      </c>
      <c r="N28" s="504" t="s">
        <v>22</v>
      </c>
      <c r="O28" s="477" t="s">
        <v>104</v>
      </c>
      <c r="P28" s="479">
        <f t="shared" si="3"/>
        <v>44260</v>
      </c>
      <c r="Q28" s="476">
        <v>44296</v>
      </c>
      <c r="R28" s="495" t="s">
        <v>558</v>
      </c>
      <c r="S28" s="507" t="s">
        <v>22</v>
      </c>
      <c r="T28" s="477" t="s">
        <v>104</v>
      </c>
      <c r="U28" s="478">
        <f t="shared" si="4"/>
        <v>44350</v>
      </c>
      <c r="V28" s="476"/>
      <c r="W28" s="499" t="s">
        <v>558</v>
      </c>
      <c r="X28" s="504" t="s">
        <v>22</v>
      </c>
      <c r="Y28" s="477" t="s">
        <v>104</v>
      </c>
      <c r="Z28" s="479">
        <f t="shared" si="5"/>
        <v>44535</v>
      </c>
      <c r="AA28" s="476"/>
      <c r="AB28" s="495" t="s">
        <v>558</v>
      </c>
      <c r="AC28" s="504" t="s">
        <v>22</v>
      </c>
      <c r="AD28" s="477" t="s">
        <v>104</v>
      </c>
    </row>
    <row r="29" spans="1:30" ht="39.950000000000003" customHeight="1" x14ac:dyDescent="0.25">
      <c r="A29" s="151">
        <f t="shared" si="6"/>
        <v>17</v>
      </c>
      <c r="B29" s="110">
        <f>'2DEMOGRAPHICS'!B29</f>
        <v>17</v>
      </c>
      <c r="C29" s="111" t="str">
        <f>'2DEMOGRAPHICS'!C29</f>
        <v>aaaaa11111aaaaa</v>
      </c>
      <c r="D29" s="112">
        <f>'2DEMOGRAPHICS'!D29</f>
        <v>44197</v>
      </c>
      <c r="E29" s="113">
        <f>'2DEMOGRAPHICS'!E29</f>
        <v>44201</v>
      </c>
      <c r="F29" s="475">
        <f t="shared" si="1"/>
        <v>44231</v>
      </c>
      <c r="G29" s="505">
        <v>44270</v>
      </c>
      <c r="H29" s="495" t="s">
        <v>559</v>
      </c>
      <c r="I29" s="507" t="s">
        <v>22</v>
      </c>
      <c r="J29" s="477" t="s">
        <v>100</v>
      </c>
      <c r="K29" s="478">
        <f t="shared" si="2"/>
        <v>44261</v>
      </c>
      <c r="L29" s="476"/>
      <c r="M29" s="499" t="s">
        <v>559</v>
      </c>
      <c r="N29" s="504" t="s">
        <v>22</v>
      </c>
      <c r="O29" s="477" t="s">
        <v>100</v>
      </c>
      <c r="P29" s="479">
        <f t="shared" si="3"/>
        <v>44291</v>
      </c>
      <c r="Q29" s="476">
        <v>44326</v>
      </c>
      <c r="R29" s="495" t="s">
        <v>559</v>
      </c>
      <c r="S29" s="507" t="s">
        <v>22</v>
      </c>
      <c r="T29" s="477" t="s">
        <v>100</v>
      </c>
      <c r="U29" s="478">
        <f t="shared" si="4"/>
        <v>44381</v>
      </c>
      <c r="V29" s="476"/>
      <c r="W29" s="499" t="s">
        <v>559</v>
      </c>
      <c r="X29" s="504" t="s">
        <v>22</v>
      </c>
      <c r="Y29" s="477" t="s">
        <v>100</v>
      </c>
      <c r="Z29" s="479">
        <f t="shared" si="5"/>
        <v>44566</v>
      </c>
      <c r="AA29" s="476"/>
      <c r="AB29" s="495" t="s">
        <v>559</v>
      </c>
      <c r="AC29" s="504" t="s">
        <v>22</v>
      </c>
      <c r="AD29" s="477" t="s">
        <v>100</v>
      </c>
    </row>
    <row r="30" spans="1:30" ht="39.950000000000003" customHeight="1" x14ac:dyDescent="0.25">
      <c r="A30" s="151">
        <f t="shared" si="6"/>
        <v>18</v>
      </c>
      <c r="B30" s="110">
        <f>'2DEMOGRAPHICS'!B30</f>
        <v>18</v>
      </c>
      <c r="C30" s="111" t="str">
        <f>'2DEMOGRAPHICS'!C30</f>
        <v>aaaaa11111aaaaa</v>
      </c>
      <c r="D30" s="112">
        <f>'2DEMOGRAPHICS'!D30</f>
        <v>44228</v>
      </c>
      <c r="E30" s="113">
        <f>'2DEMOGRAPHICS'!E30</f>
        <v>44230</v>
      </c>
      <c r="F30" s="475">
        <f t="shared" si="1"/>
        <v>44260</v>
      </c>
      <c r="G30" s="505">
        <v>44301</v>
      </c>
      <c r="H30" s="495" t="s">
        <v>560</v>
      </c>
      <c r="I30" s="507" t="s">
        <v>22</v>
      </c>
      <c r="J30" s="477" t="s">
        <v>104</v>
      </c>
      <c r="K30" s="478">
        <f t="shared" si="2"/>
        <v>44290</v>
      </c>
      <c r="L30" s="476"/>
      <c r="M30" s="499" t="s">
        <v>560</v>
      </c>
      <c r="N30" s="504" t="s">
        <v>22</v>
      </c>
      <c r="O30" s="477" t="s">
        <v>104</v>
      </c>
      <c r="P30" s="479">
        <f t="shared" si="3"/>
        <v>44320</v>
      </c>
      <c r="Q30" s="476">
        <v>44358</v>
      </c>
      <c r="R30" s="495" t="s">
        <v>560</v>
      </c>
      <c r="S30" s="507" t="s">
        <v>22</v>
      </c>
      <c r="T30" s="477" t="s">
        <v>104</v>
      </c>
      <c r="U30" s="478">
        <f t="shared" si="4"/>
        <v>44410</v>
      </c>
      <c r="V30" s="476"/>
      <c r="W30" s="499" t="s">
        <v>560</v>
      </c>
      <c r="X30" s="504" t="s">
        <v>22</v>
      </c>
      <c r="Y30" s="477" t="s">
        <v>104</v>
      </c>
      <c r="Z30" s="479">
        <f t="shared" si="5"/>
        <v>44595</v>
      </c>
      <c r="AA30" s="476"/>
      <c r="AB30" s="495" t="s">
        <v>560</v>
      </c>
      <c r="AC30" s="504" t="s">
        <v>22</v>
      </c>
      <c r="AD30" s="477" t="s">
        <v>104</v>
      </c>
    </row>
    <row r="31" spans="1:30" ht="39.950000000000003" customHeight="1" x14ac:dyDescent="0.25">
      <c r="A31" s="151">
        <f t="shared" si="6"/>
        <v>19</v>
      </c>
      <c r="B31" s="110">
        <f>'2DEMOGRAPHICS'!B31</f>
        <v>19</v>
      </c>
      <c r="C31" s="111" t="str">
        <f>'2DEMOGRAPHICS'!C31</f>
        <v>aaaaa11111aaaaa</v>
      </c>
      <c r="D31" s="112">
        <f>'2DEMOGRAPHICS'!D31</f>
        <v>44256</v>
      </c>
      <c r="E31" s="113">
        <f>'2DEMOGRAPHICS'!E31</f>
        <v>44259</v>
      </c>
      <c r="F31" s="475">
        <f t="shared" si="1"/>
        <v>44289</v>
      </c>
      <c r="G31" s="505">
        <v>44332</v>
      </c>
      <c r="H31" s="495" t="s">
        <v>558</v>
      </c>
      <c r="I31" s="507" t="s">
        <v>22</v>
      </c>
      <c r="J31" s="477" t="s">
        <v>100</v>
      </c>
      <c r="K31" s="478">
        <f t="shared" si="2"/>
        <v>44319</v>
      </c>
      <c r="L31" s="476"/>
      <c r="M31" s="499" t="s">
        <v>558</v>
      </c>
      <c r="N31" s="504" t="s">
        <v>22</v>
      </c>
      <c r="O31" s="477" t="s">
        <v>100</v>
      </c>
      <c r="P31" s="479">
        <f t="shared" si="3"/>
        <v>44349</v>
      </c>
      <c r="Q31" s="476">
        <v>44392</v>
      </c>
      <c r="R31" s="495" t="s">
        <v>558</v>
      </c>
      <c r="S31" s="507" t="s">
        <v>22</v>
      </c>
      <c r="T31" s="477" t="s">
        <v>100</v>
      </c>
      <c r="U31" s="478">
        <f t="shared" si="4"/>
        <v>44439</v>
      </c>
      <c r="V31" s="476"/>
      <c r="W31" s="499" t="s">
        <v>558</v>
      </c>
      <c r="X31" s="504" t="s">
        <v>22</v>
      </c>
      <c r="Y31" s="477" t="s">
        <v>100</v>
      </c>
      <c r="Z31" s="479">
        <f t="shared" si="5"/>
        <v>44624</v>
      </c>
      <c r="AA31" s="476"/>
      <c r="AB31" s="495" t="s">
        <v>558</v>
      </c>
      <c r="AC31" s="504" t="s">
        <v>22</v>
      </c>
      <c r="AD31" s="477" t="s">
        <v>100</v>
      </c>
    </row>
    <row r="32" spans="1:30" ht="39.950000000000003" customHeight="1" x14ac:dyDescent="0.25">
      <c r="A32" s="151">
        <f t="shared" si="6"/>
        <v>20</v>
      </c>
      <c r="B32" s="110">
        <f>'2DEMOGRAPHICS'!B32</f>
        <v>20</v>
      </c>
      <c r="C32" s="111" t="str">
        <f>'2DEMOGRAPHICS'!C32</f>
        <v>aaaaa11111aaaaa</v>
      </c>
      <c r="D32" s="112">
        <f>'2DEMOGRAPHICS'!D32</f>
        <v>44287</v>
      </c>
      <c r="E32" s="113">
        <f>'2DEMOGRAPHICS'!E32</f>
        <v>44291</v>
      </c>
      <c r="F32" s="475">
        <f t="shared" si="1"/>
        <v>44321</v>
      </c>
      <c r="G32" s="505">
        <v>44362</v>
      </c>
      <c r="H32" s="495" t="s">
        <v>559</v>
      </c>
      <c r="I32" s="507" t="s">
        <v>22</v>
      </c>
      <c r="J32" s="477" t="s">
        <v>104</v>
      </c>
      <c r="K32" s="478">
        <f t="shared" si="2"/>
        <v>44351</v>
      </c>
      <c r="L32" s="476"/>
      <c r="M32" s="499" t="s">
        <v>559</v>
      </c>
      <c r="N32" s="504" t="s">
        <v>22</v>
      </c>
      <c r="O32" s="477" t="s">
        <v>104</v>
      </c>
      <c r="P32" s="479">
        <f t="shared" si="3"/>
        <v>44381</v>
      </c>
      <c r="Q32" s="476">
        <v>44423</v>
      </c>
      <c r="R32" s="495" t="s">
        <v>559</v>
      </c>
      <c r="S32" s="507" t="s">
        <v>22</v>
      </c>
      <c r="T32" s="477" t="s">
        <v>104</v>
      </c>
      <c r="U32" s="478">
        <f t="shared" si="4"/>
        <v>44471</v>
      </c>
      <c r="V32" s="476"/>
      <c r="W32" s="499" t="s">
        <v>559</v>
      </c>
      <c r="X32" s="504" t="s">
        <v>22</v>
      </c>
      <c r="Y32" s="477" t="s">
        <v>104</v>
      </c>
      <c r="Z32" s="479">
        <f t="shared" si="5"/>
        <v>44656</v>
      </c>
      <c r="AA32" s="476"/>
      <c r="AB32" s="495" t="s">
        <v>559</v>
      </c>
      <c r="AC32" s="504" t="s">
        <v>22</v>
      </c>
      <c r="AD32" s="477" t="s">
        <v>104</v>
      </c>
    </row>
    <row r="33" spans="1:30" ht="39.950000000000003" customHeight="1" x14ac:dyDescent="0.25">
      <c r="A33" s="151">
        <f t="shared" si="6"/>
        <v>21</v>
      </c>
      <c r="B33" s="110">
        <f>'2DEMOGRAPHICS'!B33</f>
        <v>21</v>
      </c>
      <c r="C33" s="111" t="str">
        <f>'2DEMOGRAPHICS'!C33</f>
        <v>aaaaa11111aaaaa</v>
      </c>
      <c r="D33" s="112">
        <f>'2DEMOGRAPHICS'!D33</f>
        <v>44317</v>
      </c>
      <c r="E33" s="113">
        <f>'2DEMOGRAPHICS'!E33</f>
        <v>44319</v>
      </c>
      <c r="F33" s="475">
        <f t="shared" si="1"/>
        <v>44349</v>
      </c>
      <c r="G33" s="505">
        <v>44393</v>
      </c>
      <c r="H33" s="495" t="s">
        <v>560</v>
      </c>
      <c r="I33" s="507" t="s">
        <v>22</v>
      </c>
      <c r="J33" s="477" t="s">
        <v>100</v>
      </c>
      <c r="K33" s="478">
        <f t="shared" si="2"/>
        <v>44379</v>
      </c>
      <c r="L33" s="476"/>
      <c r="M33" s="499" t="s">
        <v>560</v>
      </c>
      <c r="N33" s="504" t="s">
        <v>22</v>
      </c>
      <c r="O33" s="477" t="s">
        <v>100</v>
      </c>
      <c r="P33" s="479">
        <f t="shared" si="3"/>
        <v>44409</v>
      </c>
      <c r="Q33" s="476">
        <v>44360</v>
      </c>
      <c r="R33" s="495" t="s">
        <v>560</v>
      </c>
      <c r="S33" s="507" t="s">
        <v>22</v>
      </c>
      <c r="T33" s="477" t="s">
        <v>100</v>
      </c>
      <c r="U33" s="478">
        <f t="shared" si="4"/>
        <v>44499</v>
      </c>
      <c r="V33" s="476"/>
      <c r="W33" s="499" t="s">
        <v>560</v>
      </c>
      <c r="X33" s="504" t="s">
        <v>22</v>
      </c>
      <c r="Y33" s="477" t="s">
        <v>100</v>
      </c>
      <c r="Z33" s="479">
        <f t="shared" si="5"/>
        <v>44684</v>
      </c>
      <c r="AA33" s="476"/>
      <c r="AB33" s="495" t="s">
        <v>560</v>
      </c>
      <c r="AC33" s="504" t="s">
        <v>22</v>
      </c>
      <c r="AD33" s="477" t="s">
        <v>100</v>
      </c>
    </row>
    <row r="34" spans="1:30" ht="39.950000000000003" customHeight="1" x14ac:dyDescent="0.25">
      <c r="A34" s="151">
        <f t="shared" si="6"/>
        <v>22</v>
      </c>
      <c r="B34" s="110">
        <f>'2DEMOGRAPHICS'!B34</f>
        <v>22</v>
      </c>
      <c r="C34" s="111" t="str">
        <f>'2DEMOGRAPHICS'!C34</f>
        <v>aaaaa11111aaaaa</v>
      </c>
      <c r="D34" s="112">
        <f>'2DEMOGRAPHICS'!D34</f>
        <v>44348</v>
      </c>
      <c r="E34" s="113">
        <f>'2DEMOGRAPHICS'!E34</f>
        <v>44351</v>
      </c>
      <c r="F34" s="475">
        <f t="shared" si="1"/>
        <v>44381</v>
      </c>
      <c r="G34" s="505">
        <v>44423</v>
      </c>
      <c r="H34" s="495" t="s">
        <v>558</v>
      </c>
      <c r="I34" s="507" t="s">
        <v>22</v>
      </c>
      <c r="J34" s="477" t="s">
        <v>104</v>
      </c>
      <c r="K34" s="478">
        <f t="shared" si="2"/>
        <v>44411</v>
      </c>
      <c r="L34" s="476"/>
      <c r="M34" s="499" t="s">
        <v>558</v>
      </c>
      <c r="N34" s="504" t="s">
        <v>22</v>
      </c>
      <c r="O34" s="477" t="s">
        <v>104</v>
      </c>
      <c r="P34" s="479">
        <f t="shared" si="3"/>
        <v>44441</v>
      </c>
      <c r="Q34" s="476">
        <v>44444</v>
      </c>
      <c r="R34" s="495" t="s">
        <v>558</v>
      </c>
      <c r="S34" s="507" t="s">
        <v>22</v>
      </c>
      <c r="T34" s="477" t="s">
        <v>104</v>
      </c>
      <c r="U34" s="478">
        <f t="shared" si="4"/>
        <v>44531</v>
      </c>
      <c r="V34" s="476"/>
      <c r="W34" s="499" t="s">
        <v>558</v>
      </c>
      <c r="X34" s="504" t="s">
        <v>22</v>
      </c>
      <c r="Y34" s="477" t="s">
        <v>104</v>
      </c>
      <c r="Z34" s="479">
        <f t="shared" si="5"/>
        <v>44716</v>
      </c>
      <c r="AA34" s="476"/>
      <c r="AB34" s="495" t="s">
        <v>558</v>
      </c>
      <c r="AC34" s="504" t="s">
        <v>22</v>
      </c>
      <c r="AD34" s="477" t="s">
        <v>104</v>
      </c>
    </row>
    <row r="35" spans="1:30" ht="39.950000000000003" customHeight="1" x14ac:dyDescent="0.25">
      <c r="A35" s="151">
        <f t="shared" si="6"/>
        <v>23</v>
      </c>
      <c r="B35" s="110">
        <f>'2DEMOGRAPHICS'!B35</f>
        <v>23</v>
      </c>
      <c r="C35" s="111" t="str">
        <f>'2DEMOGRAPHICS'!C35</f>
        <v>aaaaa11111aaaaa</v>
      </c>
      <c r="D35" s="112">
        <f>'2DEMOGRAPHICS'!D35</f>
        <v>44378</v>
      </c>
      <c r="E35" s="113">
        <f>'2DEMOGRAPHICS'!E35</f>
        <v>44379</v>
      </c>
      <c r="F35" s="475">
        <f t="shared" si="1"/>
        <v>44409</v>
      </c>
      <c r="G35" s="505">
        <v>44453</v>
      </c>
      <c r="H35" s="495" t="s">
        <v>559</v>
      </c>
      <c r="I35" s="507" t="s">
        <v>22</v>
      </c>
      <c r="J35" s="477" t="s">
        <v>100</v>
      </c>
      <c r="K35" s="478">
        <f t="shared" si="2"/>
        <v>44439</v>
      </c>
      <c r="L35" s="476"/>
      <c r="M35" s="499" t="s">
        <v>559</v>
      </c>
      <c r="N35" s="504" t="s">
        <v>22</v>
      </c>
      <c r="O35" s="477" t="s">
        <v>100</v>
      </c>
      <c r="P35" s="479">
        <f t="shared" si="3"/>
        <v>44469</v>
      </c>
      <c r="Q35" s="476">
        <v>44515</v>
      </c>
      <c r="R35" s="495" t="s">
        <v>559</v>
      </c>
      <c r="S35" s="507" t="s">
        <v>22</v>
      </c>
      <c r="T35" s="477" t="s">
        <v>100</v>
      </c>
      <c r="U35" s="478">
        <f t="shared" si="4"/>
        <v>44559</v>
      </c>
      <c r="V35" s="476"/>
      <c r="W35" s="499" t="s">
        <v>559</v>
      </c>
      <c r="X35" s="504" t="s">
        <v>22</v>
      </c>
      <c r="Y35" s="477" t="s">
        <v>100</v>
      </c>
      <c r="Z35" s="479">
        <f t="shared" si="5"/>
        <v>44744</v>
      </c>
      <c r="AA35" s="476"/>
      <c r="AB35" s="495" t="s">
        <v>559</v>
      </c>
      <c r="AC35" s="504" t="s">
        <v>22</v>
      </c>
      <c r="AD35" s="477" t="s">
        <v>100</v>
      </c>
    </row>
    <row r="36" spans="1:30" ht="39.950000000000003" customHeight="1" x14ac:dyDescent="0.25">
      <c r="A36" s="151">
        <f t="shared" si="6"/>
        <v>24</v>
      </c>
      <c r="B36" s="110">
        <f>'2DEMOGRAPHICS'!B36</f>
        <v>24</v>
      </c>
      <c r="C36" s="111" t="str">
        <f>'2DEMOGRAPHICS'!C36</f>
        <v>aaaaa11111aaaaa</v>
      </c>
      <c r="D36" s="112">
        <f>'2DEMOGRAPHICS'!D36</f>
        <v>44409</v>
      </c>
      <c r="E36" s="113">
        <f>'2DEMOGRAPHICS'!E36</f>
        <v>44412</v>
      </c>
      <c r="F36" s="475">
        <f t="shared" si="1"/>
        <v>44442</v>
      </c>
      <c r="G36" s="505">
        <v>44484</v>
      </c>
      <c r="H36" s="495" t="s">
        <v>560</v>
      </c>
      <c r="I36" s="507" t="s">
        <v>22</v>
      </c>
      <c r="J36" s="477" t="s">
        <v>104</v>
      </c>
      <c r="K36" s="478">
        <f t="shared" si="2"/>
        <v>44472</v>
      </c>
      <c r="L36" s="476"/>
      <c r="M36" s="499" t="s">
        <v>560</v>
      </c>
      <c r="N36" s="504" t="s">
        <v>22</v>
      </c>
      <c r="O36" s="477" t="s">
        <v>104</v>
      </c>
      <c r="P36" s="479">
        <f t="shared" si="3"/>
        <v>44502</v>
      </c>
      <c r="Q36" s="476">
        <v>44910</v>
      </c>
      <c r="R36" s="495" t="s">
        <v>560</v>
      </c>
      <c r="S36" s="507" t="s">
        <v>22</v>
      </c>
      <c r="T36" s="477" t="s">
        <v>104</v>
      </c>
      <c r="U36" s="478">
        <f t="shared" si="4"/>
        <v>44592</v>
      </c>
      <c r="V36" s="476"/>
      <c r="W36" s="499" t="s">
        <v>560</v>
      </c>
      <c r="X36" s="504" t="s">
        <v>22</v>
      </c>
      <c r="Y36" s="477" t="s">
        <v>104</v>
      </c>
      <c r="Z36" s="479">
        <f t="shared" si="5"/>
        <v>44777</v>
      </c>
      <c r="AA36" s="476"/>
      <c r="AB36" s="495" t="s">
        <v>560</v>
      </c>
      <c r="AC36" s="504" t="s">
        <v>22</v>
      </c>
      <c r="AD36" s="477" t="s">
        <v>104</v>
      </c>
    </row>
    <row r="37" spans="1:30" ht="39.950000000000003" customHeight="1" x14ac:dyDescent="0.25">
      <c r="A37" s="151">
        <f t="shared" si="6"/>
        <v>25</v>
      </c>
      <c r="B37" s="110">
        <f>'2DEMOGRAPHICS'!B37</f>
        <v>25</v>
      </c>
      <c r="C37" s="111" t="str">
        <f>'2DEMOGRAPHICS'!C37</f>
        <v>aaaaa11111aaaaa</v>
      </c>
      <c r="D37" s="112">
        <f>'2DEMOGRAPHICS'!D37</f>
        <v>44075</v>
      </c>
      <c r="E37" s="113">
        <f>'2DEMOGRAPHICS'!E37</f>
        <v>44077</v>
      </c>
      <c r="F37" s="475">
        <f t="shared" si="1"/>
        <v>44107</v>
      </c>
      <c r="G37" s="505">
        <v>44150</v>
      </c>
      <c r="H37" s="495" t="s">
        <v>558</v>
      </c>
      <c r="I37" s="507" t="s">
        <v>22</v>
      </c>
      <c r="J37" s="477" t="s">
        <v>100</v>
      </c>
      <c r="K37" s="478">
        <f t="shared" si="2"/>
        <v>44137</v>
      </c>
      <c r="L37" s="476"/>
      <c r="M37" s="499" t="s">
        <v>558</v>
      </c>
      <c r="N37" s="504" t="s">
        <v>22</v>
      </c>
      <c r="O37" s="477" t="s">
        <v>100</v>
      </c>
      <c r="P37" s="479">
        <f t="shared" si="3"/>
        <v>44167</v>
      </c>
      <c r="Q37" s="476">
        <v>44211</v>
      </c>
      <c r="R37" s="495" t="s">
        <v>558</v>
      </c>
      <c r="S37" s="507" t="s">
        <v>22</v>
      </c>
      <c r="T37" s="477" t="s">
        <v>100</v>
      </c>
      <c r="U37" s="478">
        <f t="shared" si="4"/>
        <v>44257</v>
      </c>
      <c r="V37" s="476"/>
      <c r="W37" s="499" t="s">
        <v>558</v>
      </c>
      <c r="X37" s="504" t="s">
        <v>22</v>
      </c>
      <c r="Y37" s="477" t="s">
        <v>100</v>
      </c>
      <c r="Z37" s="479">
        <f t="shared" si="5"/>
        <v>44442</v>
      </c>
      <c r="AA37" s="476"/>
      <c r="AB37" s="495" t="s">
        <v>558</v>
      </c>
      <c r="AC37" s="504" t="s">
        <v>22</v>
      </c>
      <c r="AD37" s="477" t="s">
        <v>100</v>
      </c>
    </row>
    <row r="38" spans="1:30" ht="39.950000000000003" customHeight="1" x14ac:dyDescent="0.25">
      <c r="A38" s="151">
        <f t="shared" si="6"/>
        <v>26</v>
      </c>
      <c r="B38" s="110">
        <f>'2DEMOGRAPHICS'!B38</f>
        <v>26</v>
      </c>
      <c r="C38" s="111" t="str">
        <f>'2DEMOGRAPHICS'!C38</f>
        <v>aaaaa11111aaaaa</v>
      </c>
      <c r="D38" s="112">
        <f>'2DEMOGRAPHICS'!D38</f>
        <v>44105</v>
      </c>
      <c r="E38" s="113">
        <f>'2DEMOGRAPHICS'!E38</f>
        <v>44077</v>
      </c>
      <c r="F38" s="475">
        <f t="shared" si="1"/>
        <v>44107</v>
      </c>
      <c r="G38" s="505">
        <v>44181</v>
      </c>
      <c r="H38" s="495" t="s">
        <v>559</v>
      </c>
      <c r="I38" s="507" t="s">
        <v>22</v>
      </c>
      <c r="J38" s="477" t="s">
        <v>104</v>
      </c>
      <c r="K38" s="478">
        <f t="shared" si="2"/>
        <v>44137</v>
      </c>
      <c r="L38" s="476"/>
      <c r="M38" s="499" t="s">
        <v>559</v>
      </c>
      <c r="N38" s="504" t="s">
        <v>22</v>
      </c>
      <c r="O38" s="477" t="s">
        <v>104</v>
      </c>
      <c r="P38" s="479">
        <f t="shared" si="3"/>
        <v>44167</v>
      </c>
      <c r="Q38" s="476">
        <v>44247</v>
      </c>
      <c r="R38" s="495" t="s">
        <v>559</v>
      </c>
      <c r="S38" s="507" t="s">
        <v>22</v>
      </c>
      <c r="T38" s="477" t="s">
        <v>104</v>
      </c>
      <c r="U38" s="478">
        <f t="shared" si="4"/>
        <v>44257</v>
      </c>
      <c r="V38" s="476"/>
      <c r="W38" s="499" t="s">
        <v>559</v>
      </c>
      <c r="X38" s="504" t="s">
        <v>22</v>
      </c>
      <c r="Y38" s="477" t="s">
        <v>104</v>
      </c>
      <c r="Z38" s="479">
        <f t="shared" si="5"/>
        <v>44442</v>
      </c>
      <c r="AA38" s="476"/>
      <c r="AB38" s="495" t="s">
        <v>559</v>
      </c>
      <c r="AC38" s="504" t="s">
        <v>22</v>
      </c>
      <c r="AD38" s="477" t="s">
        <v>104</v>
      </c>
    </row>
    <row r="39" spans="1:30" ht="39.950000000000003" customHeight="1" x14ac:dyDescent="0.25">
      <c r="A39" s="151">
        <f t="shared" si="6"/>
        <v>27</v>
      </c>
      <c r="B39" s="110">
        <f>'2DEMOGRAPHICS'!B39</f>
        <v>27</v>
      </c>
      <c r="C39" s="111" t="str">
        <f>'2DEMOGRAPHICS'!C39</f>
        <v>aaaaa11111aaaaa</v>
      </c>
      <c r="D39" s="112">
        <f>'2DEMOGRAPHICS'!D39</f>
        <v>44136</v>
      </c>
      <c r="E39" s="113">
        <f>'2DEMOGRAPHICS'!E39</f>
        <v>44137</v>
      </c>
      <c r="F39" s="475">
        <f t="shared" si="1"/>
        <v>44167</v>
      </c>
      <c r="G39" s="505">
        <v>44211</v>
      </c>
      <c r="H39" s="495" t="s">
        <v>560</v>
      </c>
      <c r="I39" s="507" t="s">
        <v>22</v>
      </c>
      <c r="J39" s="477" t="s">
        <v>100</v>
      </c>
      <c r="K39" s="478">
        <f t="shared" si="2"/>
        <v>44197</v>
      </c>
      <c r="L39" s="476"/>
      <c r="M39" s="499" t="s">
        <v>560</v>
      </c>
      <c r="N39" s="504" t="s">
        <v>22</v>
      </c>
      <c r="O39" s="477" t="s">
        <v>100</v>
      </c>
      <c r="P39" s="479">
        <f t="shared" si="3"/>
        <v>44227</v>
      </c>
      <c r="Q39" s="476">
        <v>44275</v>
      </c>
      <c r="R39" s="495" t="s">
        <v>560</v>
      </c>
      <c r="S39" s="507" t="s">
        <v>22</v>
      </c>
      <c r="T39" s="477" t="s">
        <v>100</v>
      </c>
      <c r="U39" s="478">
        <f t="shared" si="4"/>
        <v>44317</v>
      </c>
      <c r="V39" s="476"/>
      <c r="W39" s="499" t="s">
        <v>560</v>
      </c>
      <c r="X39" s="504" t="s">
        <v>22</v>
      </c>
      <c r="Y39" s="477" t="s">
        <v>100</v>
      </c>
      <c r="Z39" s="479">
        <f t="shared" si="5"/>
        <v>44502</v>
      </c>
      <c r="AA39" s="476"/>
      <c r="AB39" s="495" t="s">
        <v>560</v>
      </c>
      <c r="AC39" s="504" t="s">
        <v>22</v>
      </c>
      <c r="AD39" s="477" t="s">
        <v>100</v>
      </c>
    </row>
    <row r="40" spans="1:30" ht="39.950000000000003" customHeight="1" x14ac:dyDescent="0.25">
      <c r="A40" s="151">
        <f t="shared" si="6"/>
        <v>28</v>
      </c>
      <c r="B40" s="110">
        <f>'2DEMOGRAPHICS'!B40</f>
        <v>28</v>
      </c>
      <c r="C40" s="111" t="str">
        <f>'2DEMOGRAPHICS'!C40</f>
        <v>aaaaa11111aaaaa</v>
      </c>
      <c r="D40" s="112">
        <f>'2DEMOGRAPHICS'!D40</f>
        <v>44166</v>
      </c>
      <c r="E40" s="113">
        <f>'2DEMOGRAPHICS'!E40</f>
        <v>44170</v>
      </c>
      <c r="F40" s="475">
        <f t="shared" si="1"/>
        <v>44200</v>
      </c>
      <c r="G40" s="505">
        <v>44242</v>
      </c>
      <c r="H40" s="495" t="s">
        <v>558</v>
      </c>
      <c r="I40" s="507" t="s">
        <v>22</v>
      </c>
      <c r="J40" s="477" t="s">
        <v>104</v>
      </c>
      <c r="K40" s="478">
        <f t="shared" si="2"/>
        <v>44230</v>
      </c>
      <c r="L40" s="476"/>
      <c r="M40" s="499" t="s">
        <v>558</v>
      </c>
      <c r="N40" s="504" t="s">
        <v>22</v>
      </c>
      <c r="O40" s="477" t="s">
        <v>104</v>
      </c>
      <c r="P40" s="479">
        <f t="shared" si="3"/>
        <v>44260</v>
      </c>
      <c r="Q40" s="476">
        <v>44296</v>
      </c>
      <c r="R40" s="495" t="s">
        <v>558</v>
      </c>
      <c r="S40" s="507" t="s">
        <v>22</v>
      </c>
      <c r="T40" s="477" t="s">
        <v>104</v>
      </c>
      <c r="U40" s="478">
        <f t="shared" si="4"/>
        <v>44350</v>
      </c>
      <c r="V40" s="476"/>
      <c r="W40" s="499" t="s">
        <v>558</v>
      </c>
      <c r="X40" s="504" t="s">
        <v>22</v>
      </c>
      <c r="Y40" s="477" t="s">
        <v>104</v>
      </c>
      <c r="Z40" s="479">
        <f t="shared" si="5"/>
        <v>44535</v>
      </c>
      <c r="AA40" s="476"/>
      <c r="AB40" s="495" t="s">
        <v>558</v>
      </c>
      <c r="AC40" s="504" t="s">
        <v>22</v>
      </c>
      <c r="AD40" s="477" t="s">
        <v>104</v>
      </c>
    </row>
    <row r="41" spans="1:30" ht="39.950000000000003" customHeight="1" x14ac:dyDescent="0.25">
      <c r="A41" s="151">
        <f t="shared" si="6"/>
        <v>29</v>
      </c>
      <c r="B41" s="110">
        <f>'2DEMOGRAPHICS'!B41</f>
        <v>29</v>
      </c>
      <c r="C41" s="111" t="str">
        <f>'2DEMOGRAPHICS'!C41</f>
        <v>aaaaa11111aaaaa</v>
      </c>
      <c r="D41" s="112">
        <f>'2DEMOGRAPHICS'!D41</f>
        <v>44197</v>
      </c>
      <c r="E41" s="113">
        <f>'2DEMOGRAPHICS'!E41</f>
        <v>44201</v>
      </c>
      <c r="F41" s="475">
        <f t="shared" si="1"/>
        <v>44231</v>
      </c>
      <c r="G41" s="505">
        <v>44270</v>
      </c>
      <c r="H41" s="495" t="s">
        <v>559</v>
      </c>
      <c r="I41" s="507" t="s">
        <v>22</v>
      </c>
      <c r="J41" s="477" t="s">
        <v>100</v>
      </c>
      <c r="K41" s="478">
        <f t="shared" si="2"/>
        <v>44261</v>
      </c>
      <c r="L41" s="476"/>
      <c r="M41" s="499" t="s">
        <v>559</v>
      </c>
      <c r="N41" s="504" t="s">
        <v>22</v>
      </c>
      <c r="O41" s="477" t="s">
        <v>100</v>
      </c>
      <c r="P41" s="479">
        <f t="shared" si="3"/>
        <v>44291</v>
      </c>
      <c r="Q41" s="476">
        <v>44326</v>
      </c>
      <c r="R41" s="495" t="s">
        <v>559</v>
      </c>
      <c r="S41" s="507" t="s">
        <v>22</v>
      </c>
      <c r="T41" s="477" t="s">
        <v>100</v>
      </c>
      <c r="U41" s="478">
        <f t="shared" si="4"/>
        <v>44381</v>
      </c>
      <c r="V41" s="476"/>
      <c r="W41" s="499" t="s">
        <v>559</v>
      </c>
      <c r="X41" s="504" t="s">
        <v>22</v>
      </c>
      <c r="Y41" s="477" t="s">
        <v>100</v>
      </c>
      <c r="Z41" s="479">
        <f t="shared" si="5"/>
        <v>44566</v>
      </c>
      <c r="AA41" s="476"/>
      <c r="AB41" s="495" t="s">
        <v>559</v>
      </c>
      <c r="AC41" s="504" t="s">
        <v>22</v>
      </c>
      <c r="AD41" s="477" t="s">
        <v>100</v>
      </c>
    </row>
    <row r="42" spans="1:30" ht="39.950000000000003" customHeight="1" x14ac:dyDescent="0.25">
      <c r="A42" s="151">
        <f t="shared" si="6"/>
        <v>30</v>
      </c>
      <c r="B42" s="110">
        <f>'2DEMOGRAPHICS'!B42</f>
        <v>30</v>
      </c>
      <c r="C42" s="111" t="str">
        <f>'2DEMOGRAPHICS'!C42</f>
        <v>aaaaa11111aaaaa</v>
      </c>
      <c r="D42" s="112">
        <f>'2DEMOGRAPHICS'!D42</f>
        <v>44228</v>
      </c>
      <c r="E42" s="113">
        <f>'2DEMOGRAPHICS'!E42</f>
        <v>44230</v>
      </c>
      <c r="F42" s="475">
        <f t="shared" si="1"/>
        <v>44260</v>
      </c>
      <c r="G42" s="505">
        <v>44301</v>
      </c>
      <c r="H42" s="495" t="s">
        <v>560</v>
      </c>
      <c r="I42" s="507" t="s">
        <v>22</v>
      </c>
      <c r="J42" s="477" t="s">
        <v>104</v>
      </c>
      <c r="K42" s="478">
        <f t="shared" si="2"/>
        <v>44290</v>
      </c>
      <c r="L42" s="476"/>
      <c r="M42" s="499" t="s">
        <v>560</v>
      </c>
      <c r="N42" s="504" t="s">
        <v>22</v>
      </c>
      <c r="O42" s="477" t="s">
        <v>104</v>
      </c>
      <c r="P42" s="479">
        <f t="shared" si="3"/>
        <v>44320</v>
      </c>
      <c r="Q42" s="476">
        <v>44358</v>
      </c>
      <c r="R42" s="495" t="s">
        <v>560</v>
      </c>
      <c r="S42" s="507" t="s">
        <v>22</v>
      </c>
      <c r="T42" s="477" t="s">
        <v>104</v>
      </c>
      <c r="U42" s="478">
        <f t="shared" si="4"/>
        <v>44410</v>
      </c>
      <c r="V42" s="476"/>
      <c r="W42" s="499" t="s">
        <v>560</v>
      </c>
      <c r="X42" s="504" t="s">
        <v>22</v>
      </c>
      <c r="Y42" s="477" t="s">
        <v>104</v>
      </c>
      <c r="Z42" s="479">
        <f t="shared" si="5"/>
        <v>44595</v>
      </c>
      <c r="AA42" s="476"/>
      <c r="AB42" s="495" t="s">
        <v>560</v>
      </c>
      <c r="AC42" s="504" t="s">
        <v>22</v>
      </c>
      <c r="AD42" s="477" t="s">
        <v>104</v>
      </c>
    </row>
    <row r="43" spans="1:30" ht="39.950000000000003" customHeight="1" x14ac:dyDescent="0.25">
      <c r="A43" s="151">
        <f t="shared" si="6"/>
        <v>31</v>
      </c>
      <c r="B43" s="110">
        <f>'2DEMOGRAPHICS'!B43</f>
        <v>31</v>
      </c>
      <c r="C43" s="111" t="str">
        <f>'2DEMOGRAPHICS'!C43</f>
        <v>aaaaa11111aaaaa</v>
      </c>
      <c r="D43" s="112">
        <f>'2DEMOGRAPHICS'!D43</f>
        <v>44256</v>
      </c>
      <c r="E43" s="113">
        <f>'2DEMOGRAPHICS'!E43</f>
        <v>44259</v>
      </c>
      <c r="F43" s="475">
        <f t="shared" si="1"/>
        <v>44289</v>
      </c>
      <c r="G43" s="505">
        <v>44332</v>
      </c>
      <c r="H43" s="495" t="s">
        <v>558</v>
      </c>
      <c r="I43" s="507" t="s">
        <v>22</v>
      </c>
      <c r="J43" s="477" t="s">
        <v>100</v>
      </c>
      <c r="K43" s="478">
        <f t="shared" si="2"/>
        <v>44319</v>
      </c>
      <c r="L43" s="476"/>
      <c r="M43" s="499" t="s">
        <v>558</v>
      </c>
      <c r="N43" s="504" t="s">
        <v>22</v>
      </c>
      <c r="O43" s="477" t="s">
        <v>100</v>
      </c>
      <c r="P43" s="479">
        <f t="shared" si="3"/>
        <v>44349</v>
      </c>
      <c r="Q43" s="476">
        <v>44392</v>
      </c>
      <c r="R43" s="495" t="s">
        <v>558</v>
      </c>
      <c r="S43" s="507" t="s">
        <v>22</v>
      </c>
      <c r="T43" s="477" t="s">
        <v>100</v>
      </c>
      <c r="U43" s="478">
        <f t="shared" si="4"/>
        <v>44439</v>
      </c>
      <c r="V43" s="476"/>
      <c r="W43" s="499" t="s">
        <v>558</v>
      </c>
      <c r="X43" s="504" t="s">
        <v>22</v>
      </c>
      <c r="Y43" s="477" t="s">
        <v>100</v>
      </c>
      <c r="Z43" s="479">
        <f t="shared" si="5"/>
        <v>44624</v>
      </c>
      <c r="AA43" s="476"/>
      <c r="AB43" s="495" t="s">
        <v>558</v>
      </c>
      <c r="AC43" s="504" t="s">
        <v>22</v>
      </c>
      <c r="AD43" s="477" t="s">
        <v>100</v>
      </c>
    </row>
    <row r="44" spans="1:30" ht="39.950000000000003" customHeight="1" x14ac:dyDescent="0.25">
      <c r="A44" s="151">
        <f t="shared" si="6"/>
        <v>32</v>
      </c>
      <c r="B44" s="110">
        <f>'2DEMOGRAPHICS'!B44</f>
        <v>32</v>
      </c>
      <c r="C44" s="111" t="str">
        <f>'2DEMOGRAPHICS'!C44</f>
        <v>aaaaa11111aaaaa</v>
      </c>
      <c r="D44" s="112">
        <f>'2DEMOGRAPHICS'!D44</f>
        <v>44287</v>
      </c>
      <c r="E44" s="113">
        <f>'2DEMOGRAPHICS'!E44</f>
        <v>44291</v>
      </c>
      <c r="F44" s="475">
        <f t="shared" si="1"/>
        <v>44321</v>
      </c>
      <c r="G44" s="505">
        <v>44362</v>
      </c>
      <c r="H44" s="495" t="s">
        <v>559</v>
      </c>
      <c r="I44" s="507" t="s">
        <v>22</v>
      </c>
      <c r="J44" s="477" t="s">
        <v>104</v>
      </c>
      <c r="K44" s="478">
        <f t="shared" si="2"/>
        <v>44351</v>
      </c>
      <c r="L44" s="476"/>
      <c r="M44" s="499" t="s">
        <v>559</v>
      </c>
      <c r="N44" s="504" t="s">
        <v>22</v>
      </c>
      <c r="O44" s="477" t="s">
        <v>104</v>
      </c>
      <c r="P44" s="479">
        <f t="shared" si="3"/>
        <v>44381</v>
      </c>
      <c r="Q44" s="476">
        <v>44423</v>
      </c>
      <c r="R44" s="495" t="s">
        <v>559</v>
      </c>
      <c r="S44" s="507" t="s">
        <v>22</v>
      </c>
      <c r="T44" s="477" t="s">
        <v>104</v>
      </c>
      <c r="U44" s="478">
        <f t="shared" si="4"/>
        <v>44471</v>
      </c>
      <c r="V44" s="476"/>
      <c r="W44" s="499" t="s">
        <v>559</v>
      </c>
      <c r="X44" s="504" t="s">
        <v>22</v>
      </c>
      <c r="Y44" s="477" t="s">
        <v>104</v>
      </c>
      <c r="Z44" s="479">
        <f t="shared" si="5"/>
        <v>44656</v>
      </c>
      <c r="AA44" s="476"/>
      <c r="AB44" s="495" t="s">
        <v>559</v>
      </c>
      <c r="AC44" s="504" t="s">
        <v>22</v>
      </c>
      <c r="AD44" s="477" t="s">
        <v>104</v>
      </c>
    </row>
    <row r="45" spans="1:30" ht="39.950000000000003" customHeight="1" x14ac:dyDescent="0.25">
      <c r="A45" s="151">
        <f t="shared" si="6"/>
        <v>33</v>
      </c>
      <c r="B45" s="110">
        <f>'2DEMOGRAPHICS'!B45</f>
        <v>33</v>
      </c>
      <c r="C45" s="111" t="str">
        <f>'2DEMOGRAPHICS'!C45</f>
        <v>aaaaa11111aaaaa</v>
      </c>
      <c r="D45" s="112">
        <f>'2DEMOGRAPHICS'!D45</f>
        <v>44317</v>
      </c>
      <c r="E45" s="113">
        <f>'2DEMOGRAPHICS'!E45</f>
        <v>44319</v>
      </c>
      <c r="F45" s="475">
        <f t="shared" si="1"/>
        <v>44349</v>
      </c>
      <c r="G45" s="505">
        <v>44393</v>
      </c>
      <c r="H45" s="495" t="s">
        <v>560</v>
      </c>
      <c r="I45" s="507" t="s">
        <v>22</v>
      </c>
      <c r="J45" s="477" t="s">
        <v>100</v>
      </c>
      <c r="K45" s="478">
        <f t="shared" si="2"/>
        <v>44379</v>
      </c>
      <c r="L45" s="476"/>
      <c r="M45" s="499" t="s">
        <v>560</v>
      </c>
      <c r="N45" s="504" t="s">
        <v>22</v>
      </c>
      <c r="O45" s="477" t="s">
        <v>100</v>
      </c>
      <c r="P45" s="479">
        <f t="shared" si="3"/>
        <v>44409</v>
      </c>
      <c r="Q45" s="476">
        <v>44360</v>
      </c>
      <c r="R45" s="495" t="s">
        <v>560</v>
      </c>
      <c r="S45" s="507" t="s">
        <v>22</v>
      </c>
      <c r="T45" s="477" t="s">
        <v>100</v>
      </c>
      <c r="U45" s="478">
        <f t="shared" si="4"/>
        <v>44499</v>
      </c>
      <c r="V45" s="476"/>
      <c r="W45" s="499" t="s">
        <v>560</v>
      </c>
      <c r="X45" s="504" t="s">
        <v>22</v>
      </c>
      <c r="Y45" s="477" t="s">
        <v>100</v>
      </c>
      <c r="Z45" s="479">
        <f t="shared" si="5"/>
        <v>44684</v>
      </c>
      <c r="AA45" s="476"/>
      <c r="AB45" s="495" t="s">
        <v>560</v>
      </c>
      <c r="AC45" s="504" t="s">
        <v>22</v>
      </c>
      <c r="AD45" s="477" t="s">
        <v>100</v>
      </c>
    </row>
    <row r="46" spans="1:30" ht="39.950000000000003" customHeight="1" x14ac:dyDescent="0.25">
      <c r="A46" s="151">
        <f t="shared" si="6"/>
        <v>34</v>
      </c>
      <c r="B46" s="110">
        <f>'2DEMOGRAPHICS'!B46</f>
        <v>34</v>
      </c>
      <c r="C46" s="111" t="str">
        <f>'2DEMOGRAPHICS'!C46</f>
        <v>aaaaa11111aaaaa</v>
      </c>
      <c r="D46" s="112">
        <f>'2DEMOGRAPHICS'!D46</f>
        <v>44348</v>
      </c>
      <c r="E46" s="113">
        <f>'2DEMOGRAPHICS'!E46</f>
        <v>44351</v>
      </c>
      <c r="F46" s="475">
        <f t="shared" si="1"/>
        <v>44381</v>
      </c>
      <c r="G46" s="505">
        <v>44423</v>
      </c>
      <c r="H46" s="495" t="s">
        <v>558</v>
      </c>
      <c r="I46" s="507" t="s">
        <v>22</v>
      </c>
      <c r="J46" s="477" t="s">
        <v>104</v>
      </c>
      <c r="K46" s="478">
        <f t="shared" si="2"/>
        <v>44411</v>
      </c>
      <c r="L46" s="476"/>
      <c r="M46" s="499" t="s">
        <v>558</v>
      </c>
      <c r="N46" s="504" t="s">
        <v>22</v>
      </c>
      <c r="O46" s="477" t="s">
        <v>104</v>
      </c>
      <c r="P46" s="479">
        <f t="shared" si="3"/>
        <v>44441</v>
      </c>
      <c r="Q46" s="476">
        <v>44444</v>
      </c>
      <c r="R46" s="495" t="s">
        <v>558</v>
      </c>
      <c r="S46" s="507" t="s">
        <v>22</v>
      </c>
      <c r="T46" s="477" t="s">
        <v>104</v>
      </c>
      <c r="U46" s="478">
        <f t="shared" si="4"/>
        <v>44531</v>
      </c>
      <c r="V46" s="476"/>
      <c r="W46" s="499" t="s">
        <v>558</v>
      </c>
      <c r="X46" s="504" t="s">
        <v>22</v>
      </c>
      <c r="Y46" s="477" t="s">
        <v>104</v>
      </c>
      <c r="Z46" s="479">
        <f t="shared" si="5"/>
        <v>44716</v>
      </c>
      <c r="AA46" s="476"/>
      <c r="AB46" s="495" t="s">
        <v>558</v>
      </c>
      <c r="AC46" s="504" t="s">
        <v>22</v>
      </c>
      <c r="AD46" s="477" t="s">
        <v>104</v>
      </c>
    </row>
    <row r="47" spans="1:30" ht="39.950000000000003" customHeight="1" x14ac:dyDescent="0.25">
      <c r="A47" s="151">
        <f t="shared" si="6"/>
        <v>35</v>
      </c>
      <c r="B47" s="110">
        <f>'2DEMOGRAPHICS'!B47</f>
        <v>35</v>
      </c>
      <c r="C47" s="111" t="str">
        <f>'2DEMOGRAPHICS'!C47</f>
        <v>aaaaa11111aaaaa</v>
      </c>
      <c r="D47" s="112">
        <f>'2DEMOGRAPHICS'!D47</f>
        <v>44378</v>
      </c>
      <c r="E47" s="113">
        <f>'2DEMOGRAPHICS'!E47</f>
        <v>44379</v>
      </c>
      <c r="F47" s="475">
        <f t="shared" si="1"/>
        <v>44409</v>
      </c>
      <c r="G47" s="505">
        <v>44453</v>
      </c>
      <c r="H47" s="495" t="s">
        <v>559</v>
      </c>
      <c r="I47" s="507" t="s">
        <v>22</v>
      </c>
      <c r="J47" s="477" t="s">
        <v>100</v>
      </c>
      <c r="K47" s="478">
        <f t="shared" si="2"/>
        <v>44439</v>
      </c>
      <c r="L47" s="476"/>
      <c r="M47" s="499" t="s">
        <v>559</v>
      </c>
      <c r="N47" s="504" t="s">
        <v>22</v>
      </c>
      <c r="O47" s="477" t="s">
        <v>100</v>
      </c>
      <c r="P47" s="479">
        <f t="shared" si="3"/>
        <v>44469</v>
      </c>
      <c r="Q47" s="476">
        <v>44515</v>
      </c>
      <c r="R47" s="495" t="s">
        <v>559</v>
      </c>
      <c r="S47" s="507" t="s">
        <v>22</v>
      </c>
      <c r="T47" s="477" t="s">
        <v>100</v>
      </c>
      <c r="U47" s="478">
        <f t="shared" si="4"/>
        <v>44559</v>
      </c>
      <c r="V47" s="476"/>
      <c r="W47" s="499" t="s">
        <v>559</v>
      </c>
      <c r="X47" s="504" t="s">
        <v>22</v>
      </c>
      <c r="Y47" s="477" t="s">
        <v>100</v>
      </c>
      <c r="Z47" s="479">
        <f t="shared" si="5"/>
        <v>44744</v>
      </c>
      <c r="AA47" s="476"/>
      <c r="AB47" s="495" t="s">
        <v>559</v>
      </c>
      <c r="AC47" s="504" t="s">
        <v>22</v>
      </c>
      <c r="AD47" s="477" t="s">
        <v>100</v>
      </c>
    </row>
    <row r="48" spans="1:30" ht="39.950000000000003" customHeight="1" x14ac:dyDescent="0.25">
      <c r="A48" s="151">
        <f t="shared" si="6"/>
        <v>36</v>
      </c>
      <c r="B48" s="110">
        <f>'2DEMOGRAPHICS'!B48</f>
        <v>36</v>
      </c>
      <c r="C48" s="111" t="str">
        <f>'2DEMOGRAPHICS'!C48</f>
        <v>aaaaa11111aaaaa</v>
      </c>
      <c r="D48" s="112">
        <f>'2DEMOGRAPHICS'!D48</f>
        <v>44409</v>
      </c>
      <c r="E48" s="113">
        <f>'2DEMOGRAPHICS'!E48</f>
        <v>44412</v>
      </c>
      <c r="F48" s="475">
        <f t="shared" si="1"/>
        <v>44442</v>
      </c>
      <c r="G48" s="505">
        <v>44484</v>
      </c>
      <c r="H48" s="495" t="s">
        <v>560</v>
      </c>
      <c r="I48" s="507" t="s">
        <v>22</v>
      </c>
      <c r="J48" s="477" t="s">
        <v>104</v>
      </c>
      <c r="K48" s="478">
        <f t="shared" si="2"/>
        <v>44472</v>
      </c>
      <c r="L48" s="476"/>
      <c r="M48" s="499" t="s">
        <v>560</v>
      </c>
      <c r="N48" s="504" t="s">
        <v>22</v>
      </c>
      <c r="O48" s="477" t="s">
        <v>104</v>
      </c>
      <c r="P48" s="479">
        <f t="shared" si="3"/>
        <v>44502</v>
      </c>
      <c r="Q48" s="476">
        <v>44545</v>
      </c>
      <c r="R48" s="495" t="s">
        <v>560</v>
      </c>
      <c r="S48" s="507" t="s">
        <v>22</v>
      </c>
      <c r="T48" s="477" t="s">
        <v>104</v>
      </c>
      <c r="U48" s="478">
        <f t="shared" si="4"/>
        <v>44592</v>
      </c>
      <c r="V48" s="476"/>
      <c r="W48" s="499" t="s">
        <v>560</v>
      </c>
      <c r="X48" s="504" t="s">
        <v>22</v>
      </c>
      <c r="Y48" s="477" t="s">
        <v>104</v>
      </c>
      <c r="Z48" s="479">
        <f t="shared" si="5"/>
        <v>44777</v>
      </c>
      <c r="AA48" s="476"/>
      <c r="AB48" s="495" t="s">
        <v>560</v>
      </c>
      <c r="AC48" s="504" t="s">
        <v>22</v>
      </c>
      <c r="AD48" s="477" t="s">
        <v>104</v>
      </c>
    </row>
    <row r="49" spans="1:30" ht="39.950000000000003" customHeight="1" x14ac:dyDescent="0.25">
      <c r="A49" s="151">
        <f t="shared" si="6"/>
        <v>37</v>
      </c>
      <c r="B49" s="110">
        <f>'2DEMOGRAPHICS'!B49</f>
        <v>37</v>
      </c>
      <c r="C49" s="111" t="str">
        <f>'2DEMOGRAPHICS'!C49</f>
        <v>aaaaa11111aaaaa</v>
      </c>
      <c r="D49" s="112">
        <f>'2DEMOGRAPHICS'!D49</f>
        <v>44075</v>
      </c>
      <c r="E49" s="113">
        <f>'2DEMOGRAPHICS'!E49</f>
        <v>44077</v>
      </c>
      <c r="F49" s="475">
        <f t="shared" si="1"/>
        <v>44107</v>
      </c>
      <c r="G49" s="505">
        <v>44150</v>
      </c>
      <c r="H49" s="495" t="s">
        <v>558</v>
      </c>
      <c r="I49" s="507" t="s">
        <v>22</v>
      </c>
      <c r="J49" s="477" t="s">
        <v>100</v>
      </c>
      <c r="K49" s="478">
        <f t="shared" si="2"/>
        <v>44137</v>
      </c>
      <c r="L49" s="476"/>
      <c r="M49" s="499" t="s">
        <v>558</v>
      </c>
      <c r="N49" s="504" t="s">
        <v>22</v>
      </c>
      <c r="O49" s="477" t="s">
        <v>100</v>
      </c>
      <c r="P49" s="479">
        <f t="shared" si="3"/>
        <v>44167</v>
      </c>
      <c r="Q49" s="476">
        <v>44211</v>
      </c>
      <c r="R49" s="495" t="s">
        <v>558</v>
      </c>
      <c r="S49" s="507" t="s">
        <v>22</v>
      </c>
      <c r="T49" s="477" t="s">
        <v>100</v>
      </c>
      <c r="U49" s="478">
        <f t="shared" si="4"/>
        <v>44257</v>
      </c>
      <c r="V49" s="476"/>
      <c r="W49" s="499" t="s">
        <v>558</v>
      </c>
      <c r="X49" s="504" t="s">
        <v>22</v>
      </c>
      <c r="Y49" s="477" t="s">
        <v>100</v>
      </c>
      <c r="Z49" s="479">
        <f t="shared" si="5"/>
        <v>44442</v>
      </c>
      <c r="AA49" s="476"/>
      <c r="AB49" s="495" t="s">
        <v>558</v>
      </c>
      <c r="AC49" s="504" t="s">
        <v>22</v>
      </c>
      <c r="AD49" s="477" t="s">
        <v>100</v>
      </c>
    </row>
    <row r="50" spans="1:30" ht="39.950000000000003" customHeight="1" x14ac:dyDescent="0.25">
      <c r="A50" s="151">
        <f t="shared" si="6"/>
        <v>38</v>
      </c>
      <c r="B50" s="110">
        <f>'2DEMOGRAPHICS'!B50</f>
        <v>38</v>
      </c>
      <c r="C50" s="111" t="str">
        <f>'2DEMOGRAPHICS'!C50</f>
        <v>aaaaa11111aaaaa</v>
      </c>
      <c r="D50" s="112">
        <f>'2DEMOGRAPHICS'!D50</f>
        <v>44105</v>
      </c>
      <c r="E50" s="113">
        <f>'2DEMOGRAPHICS'!E50</f>
        <v>44077</v>
      </c>
      <c r="F50" s="475">
        <f t="shared" si="1"/>
        <v>44107</v>
      </c>
      <c r="G50" s="505">
        <v>44181</v>
      </c>
      <c r="H50" s="495" t="s">
        <v>559</v>
      </c>
      <c r="I50" s="507" t="s">
        <v>22</v>
      </c>
      <c r="J50" s="477" t="s">
        <v>104</v>
      </c>
      <c r="K50" s="478">
        <f t="shared" si="2"/>
        <v>44137</v>
      </c>
      <c r="L50" s="476"/>
      <c r="M50" s="499" t="s">
        <v>559</v>
      </c>
      <c r="N50" s="504" t="s">
        <v>22</v>
      </c>
      <c r="O50" s="477" t="s">
        <v>104</v>
      </c>
      <c r="P50" s="479">
        <f t="shared" si="3"/>
        <v>44167</v>
      </c>
      <c r="Q50" s="476">
        <v>44247</v>
      </c>
      <c r="R50" s="495" t="s">
        <v>559</v>
      </c>
      <c r="S50" s="507" t="s">
        <v>22</v>
      </c>
      <c r="T50" s="477" t="s">
        <v>104</v>
      </c>
      <c r="U50" s="478">
        <f t="shared" si="4"/>
        <v>44257</v>
      </c>
      <c r="V50" s="476"/>
      <c r="W50" s="499" t="s">
        <v>559</v>
      </c>
      <c r="X50" s="504" t="s">
        <v>22</v>
      </c>
      <c r="Y50" s="477" t="s">
        <v>104</v>
      </c>
      <c r="Z50" s="479">
        <f t="shared" si="5"/>
        <v>44442</v>
      </c>
      <c r="AA50" s="476"/>
      <c r="AB50" s="495" t="s">
        <v>559</v>
      </c>
      <c r="AC50" s="504" t="s">
        <v>22</v>
      </c>
      <c r="AD50" s="477" t="s">
        <v>104</v>
      </c>
    </row>
    <row r="51" spans="1:30" ht="39.950000000000003" customHeight="1" x14ac:dyDescent="0.25">
      <c r="A51" s="151">
        <f t="shared" si="6"/>
        <v>39</v>
      </c>
      <c r="B51" s="110">
        <f>'2DEMOGRAPHICS'!B51</f>
        <v>39</v>
      </c>
      <c r="C51" s="111" t="str">
        <f>'2DEMOGRAPHICS'!C51</f>
        <v>aaaaa11111aaaaa</v>
      </c>
      <c r="D51" s="112">
        <f>'2DEMOGRAPHICS'!D51</f>
        <v>44136</v>
      </c>
      <c r="E51" s="113">
        <f>'2DEMOGRAPHICS'!E51</f>
        <v>44137</v>
      </c>
      <c r="F51" s="475">
        <f t="shared" si="1"/>
        <v>44167</v>
      </c>
      <c r="G51" s="505">
        <v>44211</v>
      </c>
      <c r="H51" s="495" t="s">
        <v>560</v>
      </c>
      <c r="I51" s="507" t="s">
        <v>22</v>
      </c>
      <c r="J51" s="477" t="s">
        <v>100</v>
      </c>
      <c r="K51" s="478">
        <f t="shared" si="2"/>
        <v>44197</v>
      </c>
      <c r="L51" s="476"/>
      <c r="M51" s="499" t="s">
        <v>560</v>
      </c>
      <c r="N51" s="504" t="s">
        <v>22</v>
      </c>
      <c r="O51" s="477" t="s">
        <v>100</v>
      </c>
      <c r="P51" s="479">
        <f t="shared" si="3"/>
        <v>44227</v>
      </c>
      <c r="Q51" s="476">
        <v>44275</v>
      </c>
      <c r="R51" s="495" t="s">
        <v>560</v>
      </c>
      <c r="S51" s="507" t="s">
        <v>22</v>
      </c>
      <c r="T51" s="477" t="s">
        <v>100</v>
      </c>
      <c r="U51" s="478">
        <f t="shared" si="4"/>
        <v>44317</v>
      </c>
      <c r="V51" s="476"/>
      <c r="W51" s="499" t="s">
        <v>560</v>
      </c>
      <c r="X51" s="504" t="s">
        <v>22</v>
      </c>
      <c r="Y51" s="477" t="s">
        <v>100</v>
      </c>
      <c r="Z51" s="479">
        <f t="shared" si="5"/>
        <v>44502</v>
      </c>
      <c r="AA51" s="476"/>
      <c r="AB51" s="495" t="s">
        <v>560</v>
      </c>
      <c r="AC51" s="504" t="s">
        <v>22</v>
      </c>
      <c r="AD51" s="477" t="s">
        <v>100</v>
      </c>
    </row>
    <row r="52" spans="1:30" ht="39.950000000000003" customHeight="1" x14ac:dyDescent="0.25">
      <c r="A52" s="151">
        <f t="shared" si="6"/>
        <v>40</v>
      </c>
      <c r="B52" s="110">
        <f>'2DEMOGRAPHICS'!B52</f>
        <v>40</v>
      </c>
      <c r="C52" s="111" t="str">
        <f>'2DEMOGRAPHICS'!C52</f>
        <v>aaaaa11111aaaaa</v>
      </c>
      <c r="D52" s="112">
        <f>'2DEMOGRAPHICS'!D52</f>
        <v>44166</v>
      </c>
      <c r="E52" s="113">
        <f>'2DEMOGRAPHICS'!E52</f>
        <v>44170</v>
      </c>
      <c r="F52" s="475">
        <f t="shared" si="1"/>
        <v>44200</v>
      </c>
      <c r="G52" s="505">
        <v>44242</v>
      </c>
      <c r="H52" s="495" t="s">
        <v>558</v>
      </c>
      <c r="I52" s="507" t="s">
        <v>22</v>
      </c>
      <c r="J52" s="477" t="s">
        <v>104</v>
      </c>
      <c r="K52" s="478">
        <f t="shared" si="2"/>
        <v>44230</v>
      </c>
      <c r="L52" s="476"/>
      <c r="M52" s="499" t="s">
        <v>558</v>
      </c>
      <c r="N52" s="504" t="s">
        <v>22</v>
      </c>
      <c r="O52" s="477" t="s">
        <v>104</v>
      </c>
      <c r="P52" s="479">
        <f t="shared" si="3"/>
        <v>44260</v>
      </c>
      <c r="Q52" s="476">
        <v>44296</v>
      </c>
      <c r="R52" s="495" t="s">
        <v>558</v>
      </c>
      <c r="S52" s="507" t="s">
        <v>22</v>
      </c>
      <c r="T52" s="477" t="s">
        <v>104</v>
      </c>
      <c r="U52" s="478">
        <f t="shared" si="4"/>
        <v>44350</v>
      </c>
      <c r="V52" s="476"/>
      <c r="W52" s="499" t="s">
        <v>558</v>
      </c>
      <c r="X52" s="504" t="s">
        <v>22</v>
      </c>
      <c r="Y52" s="477" t="s">
        <v>104</v>
      </c>
      <c r="Z52" s="479">
        <f t="shared" si="5"/>
        <v>44535</v>
      </c>
      <c r="AA52" s="476"/>
      <c r="AB52" s="495" t="s">
        <v>558</v>
      </c>
      <c r="AC52" s="504" t="s">
        <v>22</v>
      </c>
      <c r="AD52" s="477" t="s">
        <v>104</v>
      </c>
    </row>
    <row r="53" spans="1:30" ht="39.950000000000003" customHeight="1" x14ac:dyDescent="0.25">
      <c r="A53" s="151">
        <f t="shared" si="6"/>
        <v>41</v>
      </c>
      <c r="B53" s="110">
        <f>'2DEMOGRAPHICS'!B53</f>
        <v>41</v>
      </c>
      <c r="C53" s="111" t="str">
        <f>'2DEMOGRAPHICS'!C53</f>
        <v>aaaaa11111aaaaa</v>
      </c>
      <c r="D53" s="112">
        <f>'2DEMOGRAPHICS'!D53</f>
        <v>44197</v>
      </c>
      <c r="E53" s="113">
        <f>'2DEMOGRAPHICS'!E53</f>
        <v>44201</v>
      </c>
      <c r="F53" s="475">
        <f t="shared" si="1"/>
        <v>44231</v>
      </c>
      <c r="G53" s="505">
        <v>44270</v>
      </c>
      <c r="H53" s="495" t="s">
        <v>559</v>
      </c>
      <c r="I53" s="507" t="s">
        <v>22</v>
      </c>
      <c r="J53" s="477" t="s">
        <v>100</v>
      </c>
      <c r="K53" s="478">
        <f t="shared" si="2"/>
        <v>44261</v>
      </c>
      <c r="L53" s="476"/>
      <c r="M53" s="499" t="s">
        <v>559</v>
      </c>
      <c r="N53" s="504" t="s">
        <v>22</v>
      </c>
      <c r="O53" s="477" t="s">
        <v>100</v>
      </c>
      <c r="P53" s="479">
        <f t="shared" si="3"/>
        <v>44291</v>
      </c>
      <c r="Q53" s="476">
        <v>44326</v>
      </c>
      <c r="R53" s="495" t="s">
        <v>559</v>
      </c>
      <c r="S53" s="507" t="s">
        <v>22</v>
      </c>
      <c r="T53" s="477" t="s">
        <v>100</v>
      </c>
      <c r="U53" s="478">
        <f t="shared" si="4"/>
        <v>44381</v>
      </c>
      <c r="V53" s="476"/>
      <c r="W53" s="499" t="s">
        <v>559</v>
      </c>
      <c r="X53" s="504" t="s">
        <v>22</v>
      </c>
      <c r="Y53" s="477" t="s">
        <v>100</v>
      </c>
      <c r="Z53" s="479">
        <f t="shared" si="5"/>
        <v>44566</v>
      </c>
      <c r="AA53" s="476"/>
      <c r="AB53" s="495" t="s">
        <v>559</v>
      </c>
      <c r="AC53" s="504" t="s">
        <v>22</v>
      </c>
      <c r="AD53" s="477" t="s">
        <v>100</v>
      </c>
    </row>
    <row r="54" spans="1:30" ht="39.950000000000003" customHeight="1" x14ac:dyDescent="0.25">
      <c r="A54" s="151">
        <f t="shared" si="6"/>
        <v>42</v>
      </c>
      <c r="B54" s="110">
        <f>'2DEMOGRAPHICS'!B54</f>
        <v>42</v>
      </c>
      <c r="C54" s="111" t="str">
        <f>'2DEMOGRAPHICS'!C54</f>
        <v>aaaaa11111aaaaa</v>
      </c>
      <c r="D54" s="112">
        <f>'2DEMOGRAPHICS'!D54</f>
        <v>44228</v>
      </c>
      <c r="E54" s="113">
        <f>'2DEMOGRAPHICS'!E54</f>
        <v>44230</v>
      </c>
      <c r="F54" s="475">
        <f t="shared" si="1"/>
        <v>44260</v>
      </c>
      <c r="G54" s="505">
        <v>44301</v>
      </c>
      <c r="H54" s="495" t="s">
        <v>560</v>
      </c>
      <c r="I54" s="507" t="s">
        <v>22</v>
      </c>
      <c r="J54" s="477" t="s">
        <v>104</v>
      </c>
      <c r="K54" s="478">
        <f t="shared" si="2"/>
        <v>44290</v>
      </c>
      <c r="L54" s="476"/>
      <c r="M54" s="499" t="s">
        <v>560</v>
      </c>
      <c r="N54" s="504" t="s">
        <v>22</v>
      </c>
      <c r="O54" s="477" t="s">
        <v>104</v>
      </c>
      <c r="P54" s="479">
        <f t="shared" si="3"/>
        <v>44320</v>
      </c>
      <c r="Q54" s="476">
        <v>44358</v>
      </c>
      <c r="R54" s="495" t="s">
        <v>560</v>
      </c>
      <c r="S54" s="507" t="s">
        <v>22</v>
      </c>
      <c r="T54" s="477" t="s">
        <v>104</v>
      </c>
      <c r="U54" s="478">
        <f t="shared" si="4"/>
        <v>44410</v>
      </c>
      <c r="V54" s="476"/>
      <c r="W54" s="499" t="s">
        <v>560</v>
      </c>
      <c r="X54" s="504" t="s">
        <v>22</v>
      </c>
      <c r="Y54" s="477" t="s">
        <v>104</v>
      </c>
      <c r="Z54" s="479">
        <f t="shared" si="5"/>
        <v>44595</v>
      </c>
      <c r="AA54" s="476"/>
      <c r="AB54" s="495" t="s">
        <v>560</v>
      </c>
      <c r="AC54" s="504" t="s">
        <v>22</v>
      </c>
      <c r="AD54" s="477" t="s">
        <v>104</v>
      </c>
    </row>
    <row r="55" spans="1:30" ht="39.950000000000003" customHeight="1" x14ac:dyDescent="0.25">
      <c r="A55" s="151">
        <f t="shared" si="6"/>
        <v>43</v>
      </c>
      <c r="B55" s="110">
        <f>'2DEMOGRAPHICS'!B55</f>
        <v>43</v>
      </c>
      <c r="C55" s="111" t="str">
        <f>'2DEMOGRAPHICS'!C55</f>
        <v>aaaaa11111aaaaa</v>
      </c>
      <c r="D55" s="112">
        <f>'2DEMOGRAPHICS'!D55</f>
        <v>44256</v>
      </c>
      <c r="E55" s="113">
        <f>'2DEMOGRAPHICS'!E55</f>
        <v>44259</v>
      </c>
      <c r="F55" s="475">
        <f t="shared" si="1"/>
        <v>44289</v>
      </c>
      <c r="G55" s="505">
        <v>44332</v>
      </c>
      <c r="H55" s="495" t="s">
        <v>558</v>
      </c>
      <c r="I55" s="507" t="s">
        <v>22</v>
      </c>
      <c r="J55" s="477" t="s">
        <v>100</v>
      </c>
      <c r="K55" s="478">
        <f t="shared" si="2"/>
        <v>44319</v>
      </c>
      <c r="L55" s="476"/>
      <c r="M55" s="499" t="s">
        <v>558</v>
      </c>
      <c r="N55" s="504" t="s">
        <v>22</v>
      </c>
      <c r="O55" s="477" t="s">
        <v>100</v>
      </c>
      <c r="P55" s="479">
        <f t="shared" si="3"/>
        <v>44349</v>
      </c>
      <c r="Q55" s="476">
        <v>44392</v>
      </c>
      <c r="R55" s="495" t="s">
        <v>558</v>
      </c>
      <c r="S55" s="507" t="s">
        <v>22</v>
      </c>
      <c r="T55" s="477" t="s">
        <v>100</v>
      </c>
      <c r="U55" s="478">
        <f t="shared" si="4"/>
        <v>44439</v>
      </c>
      <c r="V55" s="476"/>
      <c r="W55" s="499" t="s">
        <v>558</v>
      </c>
      <c r="X55" s="504" t="s">
        <v>22</v>
      </c>
      <c r="Y55" s="477" t="s">
        <v>100</v>
      </c>
      <c r="Z55" s="479">
        <f t="shared" si="5"/>
        <v>44624</v>
      </c>
      <c r="AA55" s="476"/>
      <c r="AB55" s="495" t="s">
        <v>558</v>
      </c>
      <c r="AC55" s="504" t="s">
        <v>22</v>
      </c>
      <c r="AD55" s="477" t="s">
        <v>100</v>
      </c>
    </row>
    <row r="56" spans="1:30" ht="39.950000000000003" customHeight="1" x14ac:dyDescent="0.25">
      <c r="A56" s="151">
        <f t="shared" si="6"/>
        <v>44</v>
      </c>
      <c r="B56" s="110">
        <f>'2DEMOGRAPHICS'!B56</f>
        <v>44</v>
      </c>
      <c r="C56" s="111" t="str">
        <f>'2DEMOGRAPHICS'!C56</f>
        <v>aaaaa11111aaaaa</v>
      </c>
      <c r="D56" s="112">
        <f>'2DEMOGRAPHICS'!D56</f>
        <v>44287</v>
      </c>
      <c r="E56" s="113">
        <f>'2DEMOGRAPHICS'!E56</f>
        <v>44291</v>
      </c>
      <c r="F56" s="475">
        <f t="shared" si="1"/>
        <v>44321</v>
      </c>
      <c r="G56" s="505">
        <v>44362</v>
      </c>
      <c r="H56" s="495" t="s">
        <v>559</v>
      </c>
      <c r="I56" s="507" t="s">
        <v>22</v>
      </c>
      <c r="J56" s="477" t="s">
        <v>104</v>
      </c>
      <c r="K56" s="478">
        <f t="shared" si="2"/>
        <v>44351</v>
      </c>
      <c r="L56" s="476"/>
      <c r="M56" s="499" t="s">
        <v>559</v>
      </c>
      <c r="N56" s="504" t="s">
        <v>22</v>
      </c>
      <c r="O56" s="477" t="s">
        <v>104</v>
      </c>
      <c r="P56" s="479">
        <f t="shared" si="3"/>
        <v>44381</v>
      </c>
      <c r="Q56" s="476">
        <v>44423</v>
      </c>
      <c r="R56" s="495" t="s">
        <v>559</v>
      </c>
      <c r="S56" s="507" t="s">
        <v>22</v>
      </c>
      <c r="T56" s="477" t="s">
        <v>104</v>
      </c>
      <c r="U56" s="478">
        <f t="shared" si="4"/>
        <v>44471</v>
      </c>
      <c r="V56" s="476"/>
      <c r="W56" s="499" t="s">
        <v>559</v>
      </c>
      <c r="X56" s="504" t="s">
        <v>22</v>
      </c>
      <c r="Y56" s="477" t="s">
        <v>104</v>
      </c>
      <c r="Z56" s="479">
        <f t="shared" si="5"/>
        <v>44656</v>
      </c>
      <c r="AA56" s="476"/>
      <c r="AB56" s="495" t="s">
        <v>559</v>
      </c>
      <c r="AC56" s="504" t="s">
        <v>22</v>
      </c>
      <c r="AD56" s="477" t="s">
        <v>104</v>
      </c>
    </row>
    <row r="57" spans="1:30" ht="39.950000000000003" customHeight="1" x14ac:dyDescent="0.25">
      <c r="A57" s="151">
        <f t="shared" si="6"/>
        <v>45</v>
      </c>
      <c r="B57" s="110">
        <f>'2DEMOGRAPHICS'!B57</f>
        <v>45</v>
      </c>
      <c r="C57" s="111" t="str">
        <f>'2DEMOGRAPHICS'!C57</f>
        <v>aaaaa11111aaaaa</v>
      </c>
      <c r="D57" s="112">
        <f>'2DEMOGRAPHICS'!D57</f>
        <v>44317</v>
      </c>
      <c r="E57" s="113">
        <f>'2DEMOGRAPHICS'!E57</f>
        <v>44319</v>
      </c>
      <c r="F57" s="475">
        <f t="shared" si="1"/>
        <v>44349</v>
      </c>
      <c r="G57" s="505">
        <v>44393</v>
      </c>
      <c r="H57" s="495" t="s">
        <v>560</v>
      </c>
      <c r="I57" s="507" t="s">
        <v>22</v>
      </c>
      <c r="J57" s="477" t="s">
        <v>100</v>
      </c>
      <c r="K57" s="478">
        <f t="shared" si="2"/>
        <v>44379</v>
      </c>
      <c r="L57" s="476"/>
      <c r="M57" s="499" t="s">
        <v>560</v>
      </c>
      <c r="N57" s="504" t="s">
        <v>22</v>
      </c>
      <c r="O57" s="477" t="s">
        <v>100</v>
      </c>
      <c r="P57" s="479">
        <f t="shared" si="3"/>
        <v>44409</v>
      </c>
      <c r="Q57" s="476">
        <v>44360</v>
      </c>
      <c r="R57" s="495" t="s">
        <v>560</v>
      </c>
      <c r="S57" s="507" t="s">
        <v>22</v>
      </c>
      <c r="T57" s="477" t="s">
        <v>100</v>
      </c>
      <c r="U57" s="478">
        <f t="shared" si="4"/>
        <v>44499</v>
      </c>
      <c r="V57" s="476"/>
      <c r="W57" s="499" t="s">
        <v>560</v>
      </c>
      <c r="X57" s="504" t="s">
        <v>22</v>
      </c>
      <c r="Y57" s="477" t="s">
        <v>100</v>
      </c>
      <c r="Z57" s="479">
        <f t="shared" si="5"/>
        <v>44684</v>
      </c>
      <c r="AA57" s="476"/>
      <c r="AB57" s="495" t="s">
        <v>560</v>
      </c>
      <c r="AC57" s="504" t="s">
        <v>22</v>
      </c>
      <c r="AD57" s="477" t="s">
        <v>100</v>
      </c>
    </row>
    <row r="58" spans="1:30" ht="39.950000000000003" customHeight="1" x14ac:dyDescent="0.25">
      <c r="A58" s="151">
        <f t="shared" si="6"/>
        <v>46</v>
      </c>
      <c r="B58" s="110">
        <f>'2DEMOGRAPHICS'!B58</f>
        <v>46</v>
      </c>
      <c r="C58" s="111" t="str">
        <f>'2DEMOGRAPHICS'!C58</f>
        <v>aaaaa11111aaaaa</v>
      </c>
      <c r="D58" s="112">
        <f>'2DEMOGRAPHICS'!D58</f>
        <v>44348</v>
      </c>
      <c r="E58" s="113">
        <f>'2DEMOGRAPHICS'!E58</f>
        <v>44351</v>
      </c>
      <c r="F58" s="475">
        <f t="shared" si="1"/>
        <v>44381</v>
      </c>
      <c r="G58" s="505">
        <v>44423</v>
      </c>
      <c r="H58" s="495" t="s">
        <v>558</v>
      </c>
      <c r="I58" s="507" t="s">
        <v>22</v>
      </c>
      <c r="J58" s="477" t="s">
        <v>104</v>
      </c>
      <c r="K58" s="478">
        <f t="shared" si="2"/>
        <v>44411</v>
      </c>
      <c r="L58" s="476"/>
      <c r="M58" s="499" t="s">
        <v>558</v>
      </c>
      <c r="N58" s="504" t="s">
        <v>22</v>
      </c>
      <c r="O58" s="477" t="s">
        <v>104</v>
      </c>
      <c r="P58" s="479">
        <f t="shared" si="3"/>
        <v>44441</v>
      </c>
      <c r="Q58" s="476">
        <v>44444</v>
      </c>
      <c r="R58" s="495" t="s">
        <v>558</v>
      </c>
      <c r="S58" s="507" t="s">
        <v>22</v>
      </c>
      <c r="T58" s="477" t="s">
        <v>104</v>
      </c>
      <c r="U58" s="478">
        <f t="shared" si="4"/>
        <v>44531</v>
      </c>
      <c r="V58" s="476"/>
      <c r="W58" s="499" t="s">
        <v>558</v>
      </c>
      <c r="X58" s="504" t="s">
        <v>22</v>
      </c>
      <c r="Y58" s="477" t="s">
        <v>104</v>
      </c>
      <c r="Z58" s="479">
        <f t="shared" si="5"/>
        <v>44716</v>
      </c>
      <c r="AA58" s="476"/>
      <c r="AB58" s="495" t="s">
        <v>558</v>
      </c>
      <c r="AC58" s="504" t="s">
        <v>22</v>
      </c>
      <c r="AD58" s="477" t="s">
        <v>104</v>
      </c>
    </row>
    <row r="59" spans="1:30" ht="39.950000000000003" customHeight="1" x14ac:dyDescent="0.25">
      <c r="A59" s="151">
        <f t="shared" si="6"/>
        <v>47</v>
      </c>
      <c r="B59" s="110">
        <f>'2DEMOGRAPHICS'!B59</f>
        <v>47</v>
      </c>
      <c r="C59" s="111" t="str">
        <f>'2DEMOGRAPHICS'!C59</f>
        <v>aaaaa11111aaaaa</v>
      </c>
      <c r="D59" s="112">
        <f>'2DEMOGRAPHICS'!D59</f>
        <v>44378</v>
      </c>
      <c r="E59" s="113">
        <f>'2DEMOGRAPHICS'!E59</f>
        <v>44379</v>
      </c>
      <c r="F59" s="475">
        <f t="shared" si="1"/>
        <v>44409</v>
      </c>
      <c r="G59" s="505">
        <v>44453</v>
      </c>
      <c r="H59" s="495" t="s">
        <v>559</v>
      </c>
      <c r="I59" s="507" t="s">
        <v>22</v>
      </c>
      <c r="J59" s="477" t="s">
        <v>100</v>
      </c>
      <c r="K59" s="478">
        <f t="shared" si="2"/>
        <v>44439</v>
      </c>
      <c r="L59" s="476"/>
      <c r="M59" s="499" t="s">
        <v>559</v>
      </c>
      <c r="N59" s="504" t="s">
        <v>22</v>
      </c>
      <c r="O59" s="477" t="s">
        <v>100</v>
      </c>
      <c r="P59" s="479">
        <f t="shared" si="3"/>
        <v>44469</v>
      </c>
      <c r="Q59" s="476">
        <v>44515</v>
      </c>
      <c r="R59" s="495" t="s">
        <v>559</v>
      </c>
      <c r="S59" s="507" t="s">
        <v>22</v>
      </c>
      <c r="T59" s="477" t="s">
        <v>100</v>
      </c>
      <c r="U59" s="478">
        <f t="shared" si="4"/>
        <v>44559</v>
      </c>
      <c r="V59" s="476"/>
      <c r="W59" s="499" t="s">
        <v>559</v>
      </c>
      <c r="X59" s="504" t="s">
        <v>22</v>
      </c>
      <c r="Y59" s="477" t="s">
        <v>100</v>
      </c>
      <c r="Z59" s="479">
        <f t="shared" si="5"/>
        <v>44744</v>
      </c>
      <c r="AA59" s="476"/>
      <c r="AB59" s="495" t="s">
        <v>559</v>
      </c>
      <c r="AC59" s="504" t="s">
        <v>22</v>
      </c>
      <c r="AD59" s="477" t="s">
        <v>100</v>
      </c>
    </row>
    <row r="60" spans="1:30" ht="39.950000000000003" customHeight="1" x14ac:dyDescent="0.25">
      <c r="A60" s="151">
        <f t="shared" si="6"/>
        <v>48</v>
      </c>
      <c r="B60" s="110">
        <f>'2DEMOGRAPHICS'!B60</f>
        <v>48</v>
      </c>
      <c r="C60" s="111" t="str">
        <f>'2DEMOGRAPHICS'!C60</f>
        <v>aaaaa11111aaaaa</v>
      </c>
      <c r="D60" s="112">
        <f>'2DEMOGRAPHICS'!D60</f>
        <v>44409</v>
      </c>
      <c r="E60" s="113">
        <f>'2DEMOGRAPHICS'!E60</f>
        <v>44412</v>
      </c>
      <c r="F60" s="475">
        <f t="shared" si="1"/>
        <v>44442</v>
      </c>
      <c r="G60" s="505">
        <v>44484</v>
      </c>
      <c r="H60" s="495" t="s">
        <v>560</v>
      </c>
      <c r="I60" s="507" t="s">
        <v>22</v>
      </c>
      <c r="J60" s="477" t="s">
        <v>104</v>
      </c>
      <c r="K60" s="478">
        <f t="shared" si="2"/>
        <v>44472</v>
      </c>
      <c r="L60" s="476"/>
      <c r="M60" s="499" t="s">
        <v>560</v>
      </c>
      <c r="N60" s="504" t="s">
        <v>22</v>
      </c>
      <c r="O60" s="477" t="s">
        <v>104</v>
      </c>
      <c r="P60" s="479">
        <f t="shared" si="3"/>
        <v>44502</v>
      </c>
      <c r="Q60" s="476">
        <v>44910</v>
      </c>
      <c r="R60" s="495" t="s">
        <v>560</v>
      </c>
      <c r="S60" s="507" t="s">
        <v>22</v>
      </c>
      <c r="T60" s="477" t="s">
        <v>104</v>
      </c>
      <c r="U60" s="478">
        <f t="shared" si="4"/>
        <v>44592</v>
      </c>
      <c r="V60" s="476"/>
      <c r="W60" s="499" t="s">
        <v>560</v>
      </c>
      <c r="X60" s="504" t="s">
        <v>22</v>
      </c>
      <c r="Y60" s="477" t="s">
        <v>104</v>
      </c>
      <c r="Z60" s="479">
        <f t="shared" si="5"/>
        <v>44777</v>
      </c>
      <c r="AA60" s="476"/>
      <c r="AB60" s="495" t="s">
        <v>560</v>
      </c>
      <c r="AC60" s="504" t="s">
        <v>22</v>
      </c>
      <c r="AD60" s="477" t="s">
        <v>104</v>
      </c>
    </row>
    <row r="61" spans="1:30" ht="39.950000000000003" customHeight="1" x14ac:dyDescent="0.25">
      <c r="A61" s="151">
        <f t="shared" si="6"/>
        <v>49</v>
      </c>
      <c r="B61" s="110">
        <f>'2DEMOGRAPHICS'!B61</f>
        <v>49</v>
      </c>
      <c r="C61" s="111" t="str">
        <f>'2DEMOGRAPHICS'!C61</f>
        <v>aaaaa11111aaaaa</v>
      </c>
      <c r="D61" s="112">
        <f>'2DEMOGRAPHICS'!D61</f>
        <v>44075</v>
      </c>
      <c r="E61" s="113">
        <f>'2DEMOGRAPHICS'!E61</f>
        <v>44076</v>
      </c>
      <c r="F61" s="475">
        <f t="shared" si="1"/>
        <v>44106</v>
      </c>
      <c r="G61" s="505">
        <v>44150</v>
      </c>
      <c r="H61" s="495" t="s">
        <v>558</v>
      </c>
      <c r="I61" s="507" t="s">
        <v>22</v>
      </c>
      <c r="J61" s="477" t="s">
        <v>100</v>
      </c>
      <c r="K61" s="478">
        <f t="shared" si="2"/>
        <v>44136</v>
      </c>
      <c r="L61" s="476"/>
      <c r="M61" s="499" t="s">
        <v>558</v>
      </c>
      <c r="N61" s="504" t="s">
        <v>22</v>
      </c>
      <c r="O61" s="477" t="s">
        <v>100</v>
      </c>
      <c r="P61" s="479">
        <f t="shared" si="3"/>
        <v>44166</v>
      </c>
      <c r="Q61" s="476">
        <v>44211</v>
      </c>
      <c r="R61" s="495" t="s">
        <v>558</v>
      </c>
      <c r="S61" s="507" t="s">
        <v>22</v>
      </c>
      <c r="T61" s="477" t="s">
        <v>100</v>
      </c>
      <c r="U61" s="478">
        <f t="shared" si="4"/>
        <v>44256</v>
      </c>
      <c r="V61" s="476"/>
      <c r="W61" s="499" t="s">
        <v>558</v>
      </c>
      <c r="X61" s="504" t="s">
        <v>22</v>
      </c>
      <c r="Y61" s="477" t="s">
        <v>100</v>
      </c>
      <c r="Z61" s="479">
        <f t="shared" si="5"/>
        <v>44441</v>
      </c>
      <c r="AA61" s="476"/>
      <c r="AB61" s="495" t="s">
        <v>558</v>
      </c>
      <c r="AC61" s="504" t="s">
        <v>22</v>
      </c>
      <c r="AD61" s="477" t="s">
        <v>100</v>
      </c>
    </row>
    <row r="62" spans="1:30" ht="39.950000000000003" customHeight="1" x14ac:dyDescent="0.25">
      <c r="A62" s="481">
        <f t="shared" si="6"/>
        <v>50</v>
      </c>
      <c r="B62" s="482">
        <f>'2DEMOGRAPHICS'!B62</f>
        <v>50</v>
      </c>
      <c r="C62" s="483" t="str">
        <f>'2DEMOGRAPHICS'!C62</f>
        <v>aaaaa11111aaaaa</v>
      </c>
      <c r="D62" s="484">
        <f>'2DEMOGRAPHICS'!D62</f>
        <v>44105</v>
      </c>
      <c r="E62" s="485">
        <f>'2DEMOGRAPHICS'!E62</f>
        <v>44139</v>
      </c>
      <c r="F62" s="486">
        <f t="shared" si="1"/>
        <v>44169</v>
      </c>
      <c r="G62" s="506">
        <v>44181</v>
      </c>
      <c r="H62" s="496" t="s">
        <v>559</v>
      </c>
      <c r="I62" s="507" t="s">
        <v>22</v>
      </c>
      <c r="J62" s="488" t="s">
        <v>104</v>
      </c>
      <c r="K62" s="478">
        <f t="shared" si="2"/>
        <v>44199</v>
      </c>
      <c r="L62" s="487"/>
      <c r="M62" s="500" t="s">
        <v>559</v>
      </c>
      <c r="N62" s="504" t="s">
        <v>22</v>
      </c>
      <c r="O62" s="488" t="s">
        <v>104</v>
      </c>
      <c r="P62" s="479">
        <f t="shared" si="3"/>
        <v>44229</v>
      </c>
      <c r="Q62" s="487">
        <v>44247</v>
      </c>
      <c r="R62" s="496" t="s">
        <v>559</v>
      </c>
      <c r="S62" s="507" t="s">
        <v>22</v>
      </c>
      <c r="T62" s="488" t="s">
        <v>104</v>
      </c>
      <c r="U62" s="478">
        <f t="shared" si="4"/>
        <v>44319</v>
      </c>
      <c r="V62" s="487"/>
      <c r="W62" s="500" t="s">
        <v>559</v>
      </c>
      <c r="X62" s="504" t="s">
        <v>22</v>
      </c>
      <c r="Y62" s="488" t="s">
        <v>104</v>
      </c>
      <c r="Z62" s="479">
        <f t="shared" si="5"/>
        <v>44504</v>
      </c>
      <c r="AA62" s="487"/>
      <c r="AB62" s="496" t="s">
        <v>559</v>
      </c>
      <c r="AC62" s="504" t="s">
        <v>22</v>
      </c>
      <c r="AD62" s="488" t="s">
        <v>104</v>
      </c>
    </row>
    <row r="63" spans="1:30" x14ac:dyDescent="0.25">
      <c r="A63" s="489"/>
      <c r="B63" s="297"/>
      <c r="C63" s="297"/>
      <c r="D63" s="297"/>
      <c r="E63" s="297"/>
      <c r="F63" s="297"/>
      <c r="G63" s="297"/>
      <c r="H63" s="297"/>
      <c r="I63" s="297"/>
      <c r="J63" s="297"/>
      <c r="K63" s="297"/>
      <c r="L63" s="297"/>
      <c r="M63" s="297"/>
      <c r="N63" s="297"/>
      <c r="O63" s="297"/>
      <c r="P63" s="297"/>
      <c r="Q63" s="297"/>
      <c r="R63" s="297"/>
      <c r="S63" s="297"/>
      <c r="T63" s="297"/>
      <c r="U63" s="297"/>
      <c r="V63" s="297"/>
      <c r="W63" s="297"/>
      <c r="X63" s="297"/>
      <c r="Y63" s="297"/>
      <c r="Z63" s="297"/>
      <c r="AA63" s="297"/>
      <c r="AB63" s="297"/>
      <c r="AC63" s="297"/>
      <c r="AD63" s="297"/>
    </row>
    <row r="64" spans="1:30" x14ac:dyDescent="0.25">
      <c r="A64" s="10"/>
    </row>
    <row r="65" spans="1:1" x14ac:dyDescent="0.25">
      <c r="A65" s="10"/>
    </row>
    <row r="66" spans="1:1" x14ac:dyDescent="0.25">
      <c r="A66" s="10"/>
    </row>
    <row r="67" spans="1:1" x14ac:dyDescent="0.25">
      <c r="A67" s="10"/>
    </row>
    <row r="68" spans="1:1" x14ac:dyDescent="0.25">
      <c r="A68" s="10"/>
    </row>
    <row r="69" spans="1:1" x14ac:dyDescent="0.25">
      <c r="A69" s="10"/>
    </row>
  </sheetData>
  <dataConsolidate/>
  <mergeCells count="23">
    <mergeCell ref="A10:D10"/>
    <mergeCell ref="E10:F10"/>
    <mergeCell ref="G10:H10"/>
    <mergeCell ref="I10:K10"/>
    <mergeCell ref="L10:N10"/>
    <mergeCell ref="A7:D7"/>
    <mergeCell ref="E7:H7"/>
    <mergeCell ref="I7:K7"/>
    <mergeCell ref="L7:N7"/>
    <mergeCell ref="A8:D9"/>
    <mergeCell ref="E8:H9"/>
    <mergeCell ref="I8:K8"/>
    <mergeCell ref="L8:N8"/>
    <mergeCell ref="I9:K9"/>
    <mergeCell ref="L9:N9"/>
    <mergeCell ref="A2:N2"/>
    <mergeCell ref="A3:N3"/>
    <mergeCell ref="A4:N4"/>
    <mergeCell ref="A5:N5"/>
    <mergeCell ref="A6:D6"/>
    <mergeCell ref="E6:H6"/>
    <mergeCell ref="I6:K6"/>
    <mergeCell ref="L6:N6"/>
  </mergeCells>
  <conditionalFormatting sqref="H13:H62">
    <cfRule type="expression" dxfId="14" priority="267">
      <formula>$I13="Other (Specify in Note Section) "</formula>
    </cfRule>
  </conditionalFormatting>
  <conditionalFormatting sqref="H13:I62">
    <cfRule type="expression" dxfId="13" priority="5">
      <formula>$H13="Other (Specify in Note Section) "</formula>
    </cfRule>
  </conditionalFormatting>
  <conditionalFormatting sqref="I13:I62">
    <cfRule type="expression" dxfId="12" priority="6">
      <formula>$X13="Other (Specify in Note Section) "</formula>
    </cfRule>
  </conditionalFormatting>
  <conditionalFormatting sqref="M13:M62">
    <cfRule type="expression" dxfId="11" priority="268">
      <formula>$N13="Other (Specify in Note Section) "</formula>
    </cfRule>
  </conditionalFormatting>
  <conditionalFormatting sqref="M13:N62">
    <cfRule type="expression" dxfId="10" priority="4">
      <formula>$M13="Other (Specify in Note Section) "</formula>
    </cfRule>
  </conditionalFormatting>
  <conditionalFormatting sqref="N13:N62">
    <cfRule type="expression" dxfId="9" priority="8">
      <formula>$X13="Other (Specify in Note Section) "</formula>
    </cfRule>
  </conditionalFormatting>
  <conditionalFormatting sqref="R13:R62">
    <cfRule type="expression" dxfId="8" priority="269">
      <formula>$S13="Other (Specify in Note Section) "</formula>
    </cfRule>
  </conditionalFormatting>
  <conditionalFormatting sqref="R13:S62">
    <cfRule type="expression" dxfId="7" priority="3">
      <formula>$R13="Other (Specify in Note Section) "</formula>
    </cfRule>
  </conditionalFormatting>
  <conditionalFormatting sqref="S13:S62">
    <cfRule type="expression" dxfId="6" priority="9">
      <formula>$X13="Other (Specify in Note Section) "</formula>
    </cfRule>
  </conditionalFormatting>
  <conditionalFormatting sqref="W13:X62">
    <cfRule type="expression" dxfId="5" priority="2">
      <formula>$W13="Other (Specify in Note Section) "</formula>
    </cfRule>
    <cfRule type="expression" dxfId="4" priority="270">
      <formula>$X13="Other (Specify in Note Section) "</formula>
    </cfRule>
  </conditionalFormatting>
  <conditionalFormatting sqref="AB13:AB62">
    <cfRule type="expression" dxfId="3" priority="271">
      <formula>$AC13="Other (Specify in Note Section) "</formula>
    </cfRule>
  </conditionalFormatting>
  <conditionalFormatting sqref="AB13:AC62">
    <cfRule type="expression" dxfId="2" priority="1">
      <formula>$AB13="Other (Specify in Note Section) "</formula>
    </cfRule>
  </conditionalFormatting>
  <conditionalFormatting sqref="AC13:AC62">
    <cfRule type="expression" dxfId="1" priority="7">
      <formula>$X13="Other (Specify in Note Section) "</formula>
    </cfRule>
  </conditionalFormatting>
  <dataValidations count="5">
    <dataValidation allowBlank="1" showInputMessage="1" showErrorMessage="1" prompt="Date will auto populate" sqref="D13:E62" xr:uid="{D8CC6CDC-1243-4197-A543-2DD45CC98959}"/>
    <dataValidation allowBlank="1" showInputMessage="1" showErrorMessage="1" prompt="Data will auto populate" sqref="B13:C62" xr:uid="{90560769-BA03-43F4-BF68-7AFA0FC0FEBF}"/>
    <dataValidation type="date" allowBlank="1" showInputMessage="1" showErrorMessage="1" sqref="AA13:AA62 G13:G62" xr:uid="{9BBC4B04-0A39-499B-81DD-F7704C36FAB3}">
      <formula1>44075</formula1>
      <formula2>45930</formula2>
    </dataValidation>
    <dataValidation type="date" allowBlank="1" showInputMessage="1" showErrorMessage="1" prompt="Use MM/DD/YYYY format.  Leave blank until date is needed. " sqref="L13:L62" xr:uid="{13E41780-F67B-4249-AEAB-459B67022481}">
      <formula1>44075</formula1>
      <formula2>45930</formula2>
    </dataValidation>
    <dataValidation type="date" allowBlank="1" showInputMessage="1" showErrorMessage="1" prompt="Use MM/DD/YYYY. Leave blank until date is needed. " sqref="Q13:Q62" xr:uid="{18493CCE-9623-4B2D-9E33-0118290A7279}">
      <formula1>44075</formula1>
      <formula2>45930</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605E8463-DC21-4B7A-81CA-35EE4484FEFA}">
          <x14:formula1>
            <xm:f>'Pick List '!$C$4:$C$9</xm:f>
          </x14:formula1>
          <xm:sqref>G10</xm:sqref>
        </x14:dataValidation>
        <x14:dataValidation type="list" allowBlank="1" showInputMessage="1" showErrorMessage="1" xr:uid="{2C1D8055-1E8A-461F-979D-4E17F4C8A55F}">
          <x14:formula1>
            <xm:f>'Pick List '!$A$4:$A$15</xm:f>
          </x14:formula1>
          <xm:sqref>E10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582F9-89C2-4D11-981B-28B50DD2EBB7}">
  <sheetPr>
    <tabColor theme="9" tint="-0.499984740745262"/>
  </sheetPr>
  <dimension ref="A1:AE63"/>
  <sheetViews>
    <sheetView topLeftCell="F4" workbookViewId="0">
      <selection activeCell="A5" sqref="A5:P5"/>
    </sheetView>
  </sheetViews>
  <sheetFormatPr defaultRowHeight="15" x14ac:dyDescent="0.25"/>
  <cols>
    <col min="1" max="1" width="4.7109375" customWidth="1"/>
    <col min="2" max="2" width="11" customWidth="1"/>
    <col min="3" max="3" width="20" customWidth="1"/>
    <col min="4" max="4" width="14" customWidth="1"/>
    <col min="5" max="5" width="16.140625" customWidth="1"/>
    <col min="6" max="6" width="16.5703125" customWidth="1"/>
    <col min="7" max="7" width="18.140625" customWidth="1"/>
    <col min="8" max="8" width="14.140625" customWidth="1"/>
    <col min="9" max="9" width="13.28515625" customWidth="1"/>
    <col min="10" max="10" width="12.140625" customWidth="1"/>
    <col min="11" max="18" width="5.7109375" customWidth="1"/>
    <col min="19" max="19" width="6.85546875" customWidth="1"/>
    <col min="20" max="20" width="11.140625" customWidth="1"/>
    <col min="21" max="28" width="5.7109375" customWidth="1"/>
    <col min="29" max="29" width="7" customWidth="1"/>
    <col min="30" max="30" width="11.7109375" customWidth="1"/>
    <col min="31" max="31" width="55.28515625" customWidth="1"/>
  </cols>
  <sheetData>
    <row r="1" spans="1:31" ht="69.95" customHeight="1" x14ac:dyDescent="0.25">
      <c r="A1" s="266" t="s">
        <v>245</v>
      </c>
      <c r="B1" s="267" t="s">
        <v>246</v>
      </c>
      <c r="C1" s="268" t="s">
        <v>247</v>
      </c>
      <c r="D1" s="269" t="s">
        <v>248</v>
      </c>
      <c r="E1" s="270" t="s">
        <v>249</v>
      </c>
      <c r="F1" s="271" t="s">
        <v>272</v>
      </c>
      <c r="G1" s="270" t="s">
        <v>274</v>
      </c>
      <c r="H1" s="272" t="s">
        <v>250</v>
      </c>
      <c r="I1" s="273" t="s">
        <v>251</v>
      </c>
      <c r="J1" s="274" t="s">
        <v>252</v>
      </c>
      <c r="K1" s="43" t="s">
        <v>253</v>
      </c>
      <c r="L1" s="44" t="s">
        <v>254</v>
      </c>
      <c r="M1" s="43" t="s">
        <v>255</v>
      </c>
      <c r="N1" s="44" t="s">
        <v>256</v>
      </c>
      <c r="O1" s="43" t="s">
        <v>257</v>
      </c>
      <c r="P1" s="44" t="s">
        <v>258</v>
      </c>
      <c r="Q1" s="43" t="s">
        <v>259</v>
      </c>
      <c r="R1" s="44" t="s">
        <v>260</v>
      </c>
      <c r="S1" s="285" t="s">
        <v>458</v>
      </c>
      <c r="T1" s="289" t="s">
        <v>356</v>
      </c>
      <c r="U1" s="46" t="s">
        <v>253</v>
      </c>
      <c r="V1" s="47" t="s">
        <v>254</v>
      </c>
      <c r="W1" s="46" t="s">
        <v>255</v>
      </c>
      <c r="X1" s="47" t="s">
        <v>256</v>
      </c>
      <c r="Y1" s="46" t="s">
        <v>257</v>
      </c>
      <c r="Z1" s="47" t="s">
        <v>258</v>
      </c>
      <c r="AA1" s="46" t="s">
        <v>259</v>
      </c>
      <c r="AB1" s="47" t="s">
        <v>260</v>
      </c>
      <c r="AC1" s="283" t="s">
        <v>459</v>
      </c>
      <c r="AD1" s="290" t="s">
        <v>356</v>
      </c>
      <c r="AE1" s="250" t="s">
        <v>262</v>
      </c>
    </row>
    <row r="2" spans="1:31" ht="20.100000000000001" customHeight="1" x14ac:dyDescent="0.25">
      <c r="A2" s="1255" t="str">
        <f>'BASE GRANTEE INFO &amp; UPDATES'!A1</f>
        <v>WV Bureau for Behavioral Health and Health Facilities -Community Anti-Drug Coalitions of America and Teen Court</v>
      </c>
      <c r="B2" s="1256"/>
      <c r="C2" s="1256"/>
      <c r="D2" s="1256"/>
      <c r="E2" s="1256"/>
      <c r="F2" s="1256"/>
      <c r="G2" s="1256"/>
      <c r="H2" s="1256"/>
      <c r="I2" s="1256"/>
      <c r="J2" s="1256"/>
      <c r="K2" s="1256"/>
      <c r="L2" s="1256"/>
      <c r="M2" s="1256"/>
      <c r="N2" s="1256"/>
      <c r="O2" s="1256"/>
      <c r="P2" s="1256"/>
      <c r="Q2" s="1256"/>
      <c r="R2" s="1257"/>
      <c r="S2" s="29"/>
      <c r="T2" s="29"/>
      <c r="U2" s="29"/>
      <c r="V2" s="29"/>
      <c r="W2" s="29"/>
      <c r="X2" s="29"/>
      <c r="Y2" s="29"/>
      <c r="Z2" s="29"/>
      <c r="AA2" s="29"/>
      <c r="AB2" s="29"/>
      <c r="AC2" s="29"/>
      <c r="AD2" s="29"/>
      <c r="AE2" s="276"/>
    </row>
    <row r="3" spans="1:31" ht="20.100000000000001" customHeight="1" x14ac:dyDescent="0.25">
      <c r="A3" s="1258" t="str">
        <f>'BASE GRANTEE INFO &amp; UPDATES'!A2</f>
        <v>FISCAL YEAR: 2025 (09/30/2024 - 09/29/2025)</v>
      </c>
      <c r="B3" s="1259"/>
      <c r="C3" s="1259"/>
      <c r="D3" s="1259"/>
      <c r="E3" s="1259"/>
      <c r="F3" s="1259"/>
      <c r="G3" s="1259"/>
      <c r="H3" s="1259"/>
      <c r="I3" s="1259"/>
      <c r="J3" s="1259"/>
      <c r="K3" s="1259"/>
      <c r="L3" s="1259"/>
      <c r="M3" s="1259"/>
      <c r="N3" s="1259"/>
      <c r="O3" s="1259"/>
      <c r="P3" s="1259"/>
      <c r="Q3" s="1259"/>
      <c r="R3" s="1260"/>
      <c r="S3" s="23"/>
      <c r="T3" s="23"/>
      <c r="U3" s="23"/>
      <c r="V3" s="23"/>
      <c r="W3" s="23"/>
      <c r="X3" s="23"/>
      <c r="Y3" s="23"/>
      <c r="Z3" s="23"/>
      <c r="AA3" s="23"/>
      <c r="AB3" s="23"/>
      <c r="AC3" s="23"/>
      <c r="AD3" s="23"/>
      <c r="AE3" s="277"/>
    </row>
    <row r="4" spans="1:31" ht="20.100000000000001" customHeight="1" x14ac:dyDescent="0.25">
      <c r="A4" s="1261" t="str">
        <f>'BASE GRANTEE INFO &amp; UPDATES'!A3</f>
        <v xml:space="preserve">Program reports need to be submitted electronically, via e-mail to BBHReporting@wv.gov  within 25 calendar days of the end of each month </v>
      </c>
      <c r="B4" s="1262"/>
      <c r="C4" s="1262"/>
      <c r="D4" s="1262"/>
      <c r="E4" s="1262"/>
      <c r="F4" s="1262"/>
      <c r="G4" s="1262"/>
      <c r="H4" s="1262"/>
      <c r="I4" s="1262"/>
      <c r="J4" s="1262"/>
      <c r="K4" s="1262"/>
      <c r="L4" s="1262"/>
      <c r="M4" s="1262"/>
      <c r="N4" s="1262"/>
      <c r="O4" s="1262"/>
      <c r="P4" s="1262"/>
      <c r="Q4" s="1262"/>
      <c r="R4" s="1263"/>
      <c r="S4" s="23"/>
      <c r="T4" s="23"/>
      <c r="U4" s="23"/>
      <c r="V4" s="23"/>
      <c r="W4" s="23"/>
      <c r="X4" s="23"/>
      <c r="Y4" s="23"/>
      <c r="Z4" s="23"/>
      <c r="AA4" s="23"/>
      <c r="AB4" s="23"/>
      <c r="AC4" s="23"/>
      <c r="AD4" s="23"/>
      <c r="AE4" s="277"/>
    </row>
    <row r="5" spans="1:31" ht="20.25" customHeight="1" x14ac:dyDescent="0.25">
      <c r="A5" s="1248" t="s">
        <v>484</v>
      </c>
      <c r="B5" s="1249"/>
      <c r="C5" s="1249"/>
      <c r="D5" s="1249"/>
      <c r="E5" s="1249"/>
      <c r="F5" s="1249"/>
      <c r="G5" s="1249"/>
      <c r="H5" s="1250"/>
      <c r="I5" s="1250"/>
      <c r="J5" s="1250"/>
      <c r="K5" s="1250"/>
      <c r="L5" s="1250"/>
      <c r="M5" s="1250"/>
      <c r="N5" s="1250"/>
      <c r="O5" s="1250"/>
      <c r="P5" s="1250"/>
      <c r="Q5" s="25"/>
      <c r="R5" s="25"/>
      <c r="S5" s="25"/>
      <c r="T5" s="25"/>
      <c r="U5" s="25"/>
      <c r="V5" s="25"/>
      <c r="W5" s="25"/>
      <c r="X5" s="25"/>
      <c r="Y5" s="25"/>
      <c r="Z5" s="25"/>
      <c r="AA5" s="25"/>
      <c r="AB5" s="25"/>
      <c r="AC5" s="25"/>
      <c r="AD5" s="25"/>
      <c r="AE5" s="278"/>
    </row>
    <row r="6" spans="1:31" ht="19.5" customHeight="1" x14ac:dyDescent="0.25">
      <c r="A6" s="1251" t="s">
        <v>263</v>
      </c>
      <c r="B6" s="1251"/>
      <c r="C6" s="1251"/>
      <c r="D6" s="1251"/>
      <c r="E6" s="1252" t="str">
        <f>'BASE GRANTEE INFO &amp; UPDATES'!E5</f>
        <v xml:space="preserve">Community Anti-Drug Coalitions of America (CADCA) and Teen Court </v>
      </c>
      <c r="F6" s="1252"/>
      <c r="G6" s="1253"/>
      <c r="H6" s="1254" t="s">
        <v>1</v>
      </c>
      <c r="I6" s="1254"/>
      <c r="J6" s="1254"/>
      <c r="K6" s="1252">
        <f>'BASE GRANTEE INFO &amp; UPDATES'!M5</f>
        <v>0</v>
      </c>
      <c r="L6" s="1252"/>
      <c r="M6" s="1252"/>
      <c r="N6" s="1252"/>
      <c r="O6" s="1252"/>
      <c r="P6" s="1252"/>
      <c r="Q6" s="1252"/>
      <c r="R6" s="1252"/>
      <c r="S6" s="27"/>
      <c r="T6" s="27"/>
      <c r="U6" s="27"/>
      <c r="V6" s="27"/>
      <c r="W6" s="27"/>
      <c r="X6" s="27"/>
      <c r="Y6" s="26"/>
      <c r="Z6" s="26"/>
      <c r="AA6" s="26"/>
      <c r="AB6" s="26"/>
      <c r="AC6" s="26"/>
      <c r="AD6" s="26"/>
      <c r="AE6" s="279"/>
    </row>
    <row r="7" spans="1:31" x14ac:dyDescent="0.25">
      <c r="A7" s="1243" t="s">
        <v>264</v>
      </c>
      <c r="B7" s="1243"/>
      <c r="C7" s="1243"/>
      <c r="D7" s="1243"/>
      <c r="E7" s="1269" t="str">
        <f>'BASE GRANTEE INFO &amp; UPDATES'!E6</f>
        <v>CADCA In Action and Teen Court</v>
      </c>
      <c r="F7" s="1269"/>
      <c r="G7" s="1271"/>
      <c r="H7" s="1242" t="s">
        <v>265</v>
      </c>
      <c r="I7" s="1242"/>
      <c r="J7" s="1242"/>
      <c r="K7" s="1268">
        <f>'BASE GRANTEE INFO &amp; UPDATES'!M6</f>
        <v>0</v>
      </c>
      <c r="L7" s="1268"/>
      <c r="M7" s="1268"/>
      <c r="N7" s="1268"/>
      <c r="O7" s="1268"/>
      <c r="P7" s="1268"/>
      <c r="Q7" s="1268"/>
      <c r="R7" s="1268"/>
      <c r="S7" s="27"/>
      <c r="T7" s="27"/>
      <c r="U7" s="27"/>
      <c r="V7" s="27"/>
      <c r="W7" s="27"/>
      <c r="X7" s="27"/>
      <c r="Y7" s="27"/>
      <c r="Z7" s="27"/>
      <c r="AA7" s="27"/>
      <c r="AB7" s="27"/>
      <c r="AC7" s="27"/>
      <c r="AD7" s="27"/>
      <c r="AE7" s="279"/>
    </row>
    <row r="8" spans="1:31" ht="15" customHeight="1" x14ac:dyDescent="0.25">
      <c r="A8" s="1254" t="s">
        <v>266</v>
      </c>
      <c r="B8" s="1254"/>
      <c r="C8" s="1254"/>
      <c r="D8" s="1254"/>
      <c r="E8" s="1272">
        <f>'BASE GRANTEE INFO &amp; UPDATES'!E7</f>
        <v>0</v>
      </c>
      <c r="F8" s="1272"/>
      <c r="G8" s="1273"/>
      <c r="H8" s="1243" t="s">
        <v>267</v>
      </c>
      <c r="I8" s="1243"/>
      <c r="J8" s="1243"/>
      <c r="K8" s="1269">
        <f>'BASE GRANTEE INFO &amp; UPDATES'!M7</f>
        <v>0</v>
      </c>
      <c r="L8" s="1269"/>
      <c r="M8" s="1269"/>
      <c r="N8" s="1269"/>
      <c r="O8" s="1269"/>
      <c r="P8" s="1269"/>
      <c r="Q8" s="1269"/>
      <c r="R8" s="1269"/>
      <c r="S8" s="27"/>
      <c r="T8" s="27"/>
      <c r="U8" s="27"/>
      <c r="V8" s="27"/>
      <c r="W8" s="27"/>
      <c r="X8" s="27"/>
      <c r="Y8" s="28"/>
      <c r="Z8" s="28"/>
      <c r="AA8" s="28"/>
      <c r="AB8" s="28"/>
      <c r="AC8" s="28"/>
      <c r="AD8" s="28"/>
      <c r="AE8" s="279"/>
    </row>
    <row r="9" spans="1:31" x14ac:dyDescent="0.25">
      <c r="A9" s="1254"/>
      <c r="B9" s="1254"/>
      <c r="C9" s="1254"/>
      <c r="D9" s="1254"/>
      <c r="E9" s="1272"/>
      <c r="F9" s="1272"/>
      <c r="G9" s="1273"/>
      <c r="H9" s="1243" t="s">
        <v>268</v>
      </c>
      <c r="I9" s="1243"/>
      <c r="J9" s="1243"/>
      <c r="K9" s="1269">
        <f>'BASE GRANTEE INFO &amp; UPDATES'!M8</f>
        <v>0</v>
      </c>
      <c r="L9" s="1269"/>
      <c r="M9" s="1269"/>
      <c r="N9" s="1269"/>
      <c r="O9" s="1269"/>
      <c r="P9" s="1269"/>
      <c r="Q9" s="1269"/>
      <c r="R9" s="1269"/>
      <c r="S9" s="27"/>
      <c r="T9" s="27"/>
      <c r="U9" s="27"/>
      <c r="V9" s="27"/>
      <c r="W9" s="27"/>
      <c r="X9" s="27"/>
      <c r="Y9" s="28"/>
      <c r="Z9" s="28"/>
      <c r="AA9" s="28"/>
      <c r="AB9" s="28"/>
      <c r="AC9" s="28"/>
      <c r="AD9" s="28"/>
      <c r="AE9" s="279"/>
    </row>
    <row r="10" spans="1:31" x14ac:dyDescent="0.25">
      <c r="A10" s="251" t="s">
        <v>269</v>
      </c>
      <c r="B10" s="252"/>
      <c r="C10" s="252"/>
      <c r="D10" s="252"/>
      <c r="E10" s="1247" t="str">
        <f>'BASE GRANTEE INFO &amp; UPDATES'!E9</f>
        <v>September 1 - 30</v>
      </c>
      <c r="F10" s="1247"/>
      <c r="G10" s="265">
        <f>'BASE GRANTEE INFO &amp; UPDATES'!G9</f>
        <v>2024</v>
      </c>
      <c r="H10" s="1267" t="s">
        <v>456</v>
      </c>
      <c r="I10" s="1267"/>
      <c r="J10" s="1267"/>
      <c r="K10" s="1269">
        <f>'BASE GRANTEE INFO &amp; UPDATES'!M9</f>
        <v>0</v>
      </c>
      <c r="L10" s="1269"/>
      <c r="M10" s="1269"/>
      <c r="N10" s="1269"/>
      <c r="O10" s="1269"/>
      <c r="P10" s="1269"/>
      <c r="Q10" s="1269"/>
      <c r="R10" s="1269"/>
      <c r="S10" s="27"/>
      <c r="T10" s="27"/>
      <c r="U10" s="27"/>
      <c r="V10" s="27"/>
      <c r="W10" s="27"/>
      <c r="X10" s="27"/>
      <c r="Y10" s="27"/>
      <c r="Z10" s="27"/>
      <c r="AA10" s="27"/>
      <c r="AB10" s="27"/>
      <c r="AC10" s="27"/>
      <c r="AD10" s="27"/>
      <c r="AE10" s="279"/>
    </row>
    <row r="11" spans="1:31" ht="18.75" customHeight="1" x14ac:dyDescent="0.25">
      <c r="A11" s="1274" t="s">
        <v>485</v>
      </c>
      <c r="B11" s="1275"/>
      <c r="C11" s="1275"/>
      <c r="D11" s="1275"/>
      <c r="E11" s="1275"/>
      <c r="F11" s="1275"/>
      <c r="G11" s="1275"/>
      <c r="H11" s="1249"/>
      <c r="I11" s="1249"/>
      <c r="J11" s="1249"/>
      <c r="K11" s="1249"/>
      <c r="L11" s="1249"/>
      <c r="M11" s="1249"/>
      <c r="N11" s="1249"/>
      <c r="O11" s="1249"/>
      <c r="P11" s="1249"/>
      <c r="Q11" s="24"/>
      <c r="R11" s="24"/>
      <c r="S11" s="24"/>
      <c r="T11" s="24"/>
      <c r="U11" s="24"/>
      <c r="V11" s="24"/>
      <c r="W11" s="24"/>
      <c r="X11" s="24"/>
      <c r="Y11" s="24"/>
      <c r="Z11" s="24"/>
      <c r="AA11" s="24"/>
      <c r="AB11" s="24"/>
      <c r="AC11" s="24"/>
      <c r="AD11" s="24"/>
      <c r="AE11" s="280"/>
    </row>
    <row r="12" spans="1:31" ht="39.950000000000003" customHeight="1" x14ac:dyDescent="0.25">
      <c r="A12" s="508" t="s">
        <v>245</v>
      </c>
      <c r="B12" s="1270" t="s">
        <v>160</v>
      </c>
      <c r="C12" s="1270"/>
      <c r="D12" s="1270"/>
      <c r="E12" s="1270"/>
      <c r="F12" s="1270"/>
      <c r="G12" s="1270"/>
      <c r="H12" s="1270"/>
      <c r="I12" s="1270"/>
      <c r="J12" s="1270"/>
      <c r="K12" s="1264" t="s">
        <v>270</v>
      </c>
      <c r="L12" s="1265"/>
      <c r="M12" s="1265"/>
      <c r="N12" s="1265"/>
      <c r="O12" s="1265"/>
      <c r="P12" s="1265"/>
      <c r="Q12" s="1265"/>
      <c r="R12" s="1265"/>
      <c r="S12" s="1265"/>
      <c r="T12" s="1266"/>
      <c r="U12" s="1244" t="s">
        <v>271</v>
      </c>
      <c r="V12" s="1245"/>
      <c r="W12" s="1245"/>
      <c r="X12" s="1245"/>
      <c r="Y12" s="1245"/>
      <c r="Z12" s="1245"/>
      <c r="AA12" s="1245"/>
      <c r="AB12" s="1245"/>
      <c r="AC12" s="1245"/>
      <c r="AD12" s="1246"/>
      <c r="AE12" s="281" t="s">
        <v>262</v>
      </c>
    </row>
    <row r="13" spans="1:31" ht="69.95" customHeight="1" x14ac:dyDescent="0.25">
      <c r="A13" s="31" t="s">
        <v>245</v>
      </c>
      <c r="B13" s="32" t="s">
        <v>246</v>
      </c>
      <c r="C13" s="42" t="s">
        <v>247</v>
      </c>
      <c r="D13" s="74" t="s">
        <v>248</v>
      </c>
      <c r="E13" s="33" t="s">
        <v>249</v>
      </c>
      <c r="F13" s="34" t="s">
        <v>272</v>
      </c>
      <c r="G13" s="33" t="s">
        <v>274</v>
      </c>
      <c r="H13" s="35" t="s">
        <v>250</v>
      </c>
      <c r="I13" s="36" t="s">
        <v>251</v>
      </c>
      <c r="J13" s="73" t="s">
        <v>252</v>
      </c>
      <c r="K13" s="45" t="s">
        <v>253</v>
      </c>
      <c r="L13" s="21" t="s">
        <v>254</v>
      </c>
      <c r="M13" s="45" t="s">
        <v>255</v>
      </c>
      <c r="N13" s="21" t="s">
        <v>256</v>
      </c>
      <c r="O13" s="45" t="s">
        <v>257</v>
      </c>
      <c r="P13" s="21" t="s">
        <v>258</v>
      </c>
      <c r="Q13" s="45" t="s">
        <v>259</v>
      </c>
      <c r="R13" s="21" t="s">
        <v>260</v>
      </c>
      <c r="S13" s="286" t="s">
        <v>261</v>
      </c>
      <c r="T13" s="289" t="s">
        <v>356</v>
      </c>
      <c r="U13" s="284" t="s">
        <v>253</v>
      </c>
      <c r="V13" s="288" t="s">
        <v>254</v>
      </c>
      <c r="W13" s="284" t="s">
        <v>255</v>
      </c>
      <c r="X13" s="288" t="s">
        <v>256</v>
      </c>
      <c r="Y13" s="284" t="s">
        <v>257</v>
      </c>
      <c r="Z13" s="288" t="s">
        <v>258</v>
      </c>
      <c r="AA13" s="284" t="s">
        <v>259</v>
      </c>
      <c r="AB13" s="288" t="s">
        <v>260</v>
      </c>
      <c r="AC13" s="283" t="s">
        <v>261</v>
      </c>
      <c r="AD13" s="290" t="s">
        <v>356</v>
      </c>
      <c r="AE13" s="282" t="s">
        <v>262</v>
      </c>
    </row>
    <row r="14" spans="1:31" ht="39.950000000000003" customHeight="1" x14ac:dyDescent="0.25">
      <c r="A14" s="30">
        <f t="shared" ref="A14:A63" si="0">ROW(A1)</f>
        <v>1</v>
      </c>
      <c r="B14" s="39">
        <v>44105</v>
      </c>
      <c r="C14" s="37" t="s">
        <v>22</v>
      </c>
      <c r="D14" s="128" t="s">
        <v>100</v>
      </c>
      <c r="E14" s="37" t="s">
        <v>22</v>
      </c>
      <c r="F14" s="40" t="s">
        <v>22</v>
      </c>
      <c r="G14" s="37" t="s">
        <v>22</v>
      </c>
      <c r="H14" s="41" t="s">
        <v>22</v>
      </c>
      <c r="I14" s="38" t="s">
        <v>22</v>
      </c>
      <c r="J14" s="128" t="s">
        <v>100</v>
      </c>
      <c r="K14" s="71">
        <v>1</v>
      </c>
      <c r="L14" s="72">
        <v>1</v>
      </c>
      <c r="M14" s="71">
        <v>1</v>
      </c>
      <c r="N14" s="72">
        <v>1</v>
      </c>
      <c r="O14" s="71">
        <v>1</v>
      </c>
      <c r="P14" s="72">
        <v>1</v>
      </c>
      <c r="Q14" s="71">
        <v>1</v>
      </c>
      <c r="R14" s="72">
        <v>1</v>
      </c>
      <c r="S14" s="287">
        <v>1</v>
      </c>
      <c r="T14" s="291" t="s">
        <v>22</v>
      </c>
      <c r="U14" s="126">
        <v>1</v>
      </c>
      <c r="V14" s="127">
        <v>1</v>
      </c>
      <c r="W14" s="126">
        <v>1</v>
      </c>
      <c r="X14" s="127">
        <v>1</v>
      </c>
      <c r="Y14" s="126">
        <v>1</v>
      </c>
      <c r="Z14" s="127">
        <v>1</v>
      </c>
      <c r="AA14" s="126">
        <v>1</v>
      </c>
      <c r="AB14" s="127">
        <v>1</v>
      </c>
      <c r="AC14" s="275">
        <v>1</v>
      </c>
      <c r="AD14" s="292" t="s">
        <v>22</v>
      </c>
      <c r="AE14" s="293" t="s">
        <v>273</v>
      </c>
    </row>
    <row r="15" spans="1:31" ht="39.950000000000003" customHeight="1" x14ac:dyDescent="0.25">
      <c r="A15" s="30">
        <f t="shared" si="0"/>
        <v>2</v>
      </c>
      <c r="B15" s="39">
        <v>44136</v>
      </c>
      <c r="C15" s="37" t="s">
        <v>22</v>
      </c>
      <c r="D15" s="128" t="s">
        <v>104</v>
      </c>
      <c r="E15" s="37" t="s">
        <v>22</v>
      </c>
      <c r="F15" s="40" t="s">
        <v>22</v>
      </c>
      <c r="G15" s="37" t="s">
        <v>22</v>
      </c>
      <c r="H15" s="41" t="s">
        <v>22</v>
      </c>
      <c r="I15" s="38" t="s">
        <v>22</v>
      </c>
      <c r="J15" s="128" t="s">
        <v>104</v>
      </c>
      <c r="K15" s="71">
        <v>1</v>
      </c>
      <c r="L15" s="72">
        <v>1</v>
      </c>
      <c r="M15" s="71">
        <v>1</v>
      </c>
      <c r="N15" s="72">
        <v>1</v>
      </c>
      <c r="O15" s="71">
        <v>1</v>
      </c>
      <c r="P15" s="72">
        <v>1</v>
      </c>
      <c r="Q15" s="71">
        <v>1</v>
      </c>
      <c r="R15" s="72">
        <v>1</v>
      </c>
      <c r="S15" s="287">
        <v>1</v>
      </c>
      <c r="T15" s="291" t="s">
        <v>22</v>
      </c>
      <c r="U15" s="126">
        <v>1</v>
      </c>
      <c r="V15" s="127">
        <v>1</v>
      </c>
      <c r="W15" s="126">
        <v>1</v>
      </c>
      <c r="X15" s="127">
        <v>1</v>
      </c>
      <c r="Y15" s="126">
        <v>1</v>
      </c>
      <c r="Z15" s="127">
        <v>1</v>
      </c>
      <c r="AA15" s="126">
        <v>1</v>
      </c>
      <c r="AB15" s="127">
        <v>1</v>
      </c>
      <c r="AC15" s="275">
        <v>1</v>
      </c>
      <c r="AD15" s="292" t="s">
        <v>22</v>
      </c>
      <c r="AE15" s="293" t="s">
        <v>273</v>
      </c>
    </row>
    <row r="16" spans="1:31" ht="39.950000000000003" customHeight="1" x14ac:dyDescent="0.25">
      <c r="A16" s="30">
        <f t="shared" si="0"/>
        <v>3</v>
      </c>
      <c r="B16" s="39">
        <v>44166</v>
      </c>
      <c r="C16" s="37" t="s">
        <v>22</v>
      </c>
      <c r="D16" s="128" t="s">
        <v>100</v>
      </c>
      <c r="E16" s="37" t="s">
        <v>22</v>
      </c>
      <c r="F16" s="40" t="s">
        <v>22</v>
      </c>
      <c r="G16" s="37" t="s">
        <v>22</v>
      </c>
      <c r="H16" s="41" t="s">
        <v>22</v>
      </c>
      <c r="I16" s="38" t="s">
        <v>22</v>
      </c>
      <c r="J16" s="128" t="s">
        <v>100</v>
      </c>
      <c r="K16" s="71">
        <v>1</v>
      </c>
      <c r="L16" s="72">
        <v>1</v>
      </c>
      <c r="M16" s="71">
        <v>1</v>
      </c>
      <c r="N16" s="72">
        <v>1</v>
      </c>
      <c r="O16" s="71">
        <v>1</v>
      </c>
      <c r="P16" s="72">
        <v>1</v>
      </c>
      <c r="Q16" s="71">
        <v>1</v>
      </c>
      <c r="R16" s="72">
        <v>1</v>
      </c>
      <c r="S16" s="287">
        <v>1</v>
      </c>
      <c r="T16" s="291" t="s">
        <v>22</v>
      </c>
      <c r="U16" s="126">
        <v>1</v>
      </c>
      <c r="V16" s="127">
        <v>1</v>
      </c>
      <c r="W16" s="126">
        <v>1</v>
      </c>
      <c r="X16" s="127">
        <v>1</v>
      </c>
      <c r="Y16" s="126">
        <v>1</v>
      </c>
      <c r="Z16" s="127">
        <v>1</v>
      </c>
      <c r="AA16" s="126">
        <v>1</v>
      </c>
      <c r="AB16" s="127">
        <v>1</v>
      </c>
      <c r="AC16" s="275">
        <v>1</v>
      </c>
      <c r="AD16" s="292" t="s">
        <v>22</v>
      </c>
      <c r="AE16" s="293" t="s">
        <v>273</v>
      </c>
    </row>
    <row r="17" spans="1:31" ht="39.950000000000003" customHeight="1" x14ac:dyDescent="0.25">
      <c r="A17" s="30">
        <f t="shared" si="0"/>
        <v>4</v>
      </c>
      <c r="B17" s="39">
        <v>44197</v>
      </c>
      <c r="C17" s="37" t="s">
        <v>22</v>
      </c>
      <c r="D17" s="128" t="s">
        <v>104</v>
      </c>
      <c r="E17" s="37" t="s">
        <v>22</v>
      </c>
      <c r="F17" s="40" t="s">
        <v>22</v>
      </c>
      <c r="G17" s="37" t="s">
        <v>22</v>
      </c>
      <c r="H17" s="41" t="s">
        <v>22</v>
      </c>
      <c r="I17" s="38" t="s">
        <v>22</v>
      </c>
      <c r="J17" s="128" t="s">
        <v>104</v>
      </c>
      <c r="K17" s="71">
        <v>1</v>
      </c>
      <c r="L17" s="72">
        <v>1</v>
      </c>
      <c r="M17" s="71">
        <v>1</v>
      </c>
      <c r="N17" s="72">
        <v>1</v>
      </c>
      <c r="O17" s="71">
        <v>1</v>
      </c>
      <c r="P17" s="72">
        <v>1</v>
      </c>
      <c r="Q17" s="71">
        <v>1</v>
      </c>
      <c r="R17" s="72">
        <v>1</v>
      </c>
      <c r="S17" s="287">
        <v>1</v>
      </c>
      <c r="T17" s="291" t="s">
        <v>22</v>
      </c>
      <c r="U17" s="126">
        <v>1</v>
      </c>
      <c r="V17" s="127">
        <v>1</v>
      </c>
      <c r="W17" s="126">
        <v>1</v>
      </c>
      <c r="X17" s="127">
        <v>1</v>
      </c>
      <c r="Y17" s="126">
        <v>1</v>
      </c>
      <c r="Z17" s="127">
        <v>1</v>
      </c>
      <c r="AA17" s="126">
        <v>1</v>
      </c>
      <c r="AB17" s="127">
        <v>1</v>
      </c>
      <c r="AC17" s="275">
        <v>1</v>
      </c>
      <c r="AD17" s="292" t="s">
        <v>22</v>
      </c>
      <c r="AE17" s="293" t="s">
        <v>273</v>
      </c>
    </row>
    <row r="18" spans="1:31" ht="39.950000000000003" customHeight="1" x14ac:dyDescent="0.25">
      <c r="A18" s="30">
        <f t="shared" si="0"/>
        <v>5</v>
      </c>
      <c r="B18" s="39">
        <v>44228</v>
      </c>
      <c r="C18" s="37" t="s">
        <v>22</v>
      </c>
      <c r="D18" s="128" t="s">
        <v>100</v>
      </c>
      <c r="E18" s="37" t="s">
        <v>22</v>
      </c>
      <c r="F18" s="40" t="s">
        <v>22</v>
      </c>
      <c r="G18" s="37" t="s">
        <v>22</v>
      </c>
      <c r="H18" s="41" t="s">
        <v>22</v>
      </c>
      <c r="I18" s="38" t="s">
        <v>22</v>
      </c>
      <c r="J18" s="128" t="s">
        <v>100</v>
      </c>
      <c r="K18" s="71">
        <v>1</v>
      </c>
      <c r="L18" s="72">
        <v>1</v>
      </c>
      <c r="M18" s="71">
        <v>1</v>
      </c>
      <c r="N18" s="72">
        <v>1</v>
      </c>
      <c r="O18" s="71">
        <v>1</v>
      </c>
      <c r="P18" s="72">
        <v>1</v>
      </c>
      <c r="Q18" s="71">
        <v>1</v>
      </c>
      <c r="R18" s="72">
        <v>1</v>
      </c>
      <c r="S18" s="287">
        <v>1</v>
      </c>
      <c r="T18" s="291" t="s">
        <v>22</v>
      </c>
      <c r="U18" s="126">
        <v>1</v>
      </c>
      <c r="V18" s="127">
        <v>1</v>
      </c>
      <c r="W18" s="126">
        <v>1</v>
      </c>
      <c r="X18" s="127">
        <v>1</v>
      </c>
      <c r="Y18" s="126">
        <v>1</v>
      </c>
      <c r="Z18" s="127">
        <v>1</v>
      </c>
      <c r="AA18" s="126">
        <v>1</v>
      </c>
      <c r="AB18" s="127">
        <v>1</v>
      </c>
      <c r="AC18" s="275">
        <v>1</v>
      </c>
      <c r="AD18" s="292" t="s">
        <v>22</v>
      </c>
      <c r="AE18" s="293" t="s">
        <v>273</v>
      </c>
    </row>
    <row r="19" spans="1:31" ht="39.950000000000003" customHeight="1" x14ac:dyDescent="0.25">
      <c r="A19" s="30">
        <f t="shared" si="0"/>
        <v>6</v>
      </c>
      <c r="B19" s="39">
        <v>44256</v>
      </c>
      <c r="C19" s="37" t="s">
        <v>22</v>
      </c>
      <c r="D19" s="128" t="s">
        <v>104</v>
      </c>
      <c r="E19" s="37" t="s">
        <v>22</v>
      </c>
      <c r="F19" s="40" t="s">
        <v>22</v>
      </c>
      <c r="G19" s="37" t="s">
        <v>22</v>
      </c>
      <c r="H19" s="41" t="s">
        <v>22</v>
      </c>
      <c r="I19" s="38" t="s">
        <v>22</v>
      </c>
      <c r="J19" s="128" t="s">
        <v>104</v>
      </c>
      <c r="K19" s="71">
        <v>1</v>
      </c>
      <c r="L19" s="72">
        <v>1</v>
      </c>
      <c r="M19" s="71">
        <v>1</v>
      </c>
      <c r="N19" s="72">
        <v>1</v>
      </c>
      <c r="O19" s="71">
        <v>1</v>
      </c>
      <c r="P19" s="72">
        <v>1</v>
      </c>
      <c r="Q19" s="71">
        <v>1</v>
      </c>
      <c r="R19" s="72">
        <v>1</v>
      </c>
      <c r="S19" s="287">
        <v>1</v>
      </c>
      <c r="T19" s="291" t="s">
        <v>22</v>
      </c>
      <c r="U19" s="126">
        <v>1</v>
      </c>
      <c r="V19" s="127">
        <v>1</v>
      </c>
      <c r="W19" s="126">
        <v>1</v>
      </c>
      <c r="X19" s="127">
        <v>1</v>
      </c>
      <c r="Y19" s="126">
        <v>1</v>
      </c>
      <c r="Z19" s="127">
        <v>1</v>
      </c>
      <c r="AA19" s="126">
        <v>1</v>
      </c>
      <c r="AB19" s="127">
        <v>1</v>
      </c>
      <c r="AC19" s="275">
        <v>1</v>
      </c>
      <c r="AD19" s="292" t="s">
        <v>22</v>
      </c>
      <c r="AE19" s="293" t="s">
        <v>22</v>
      </c>
    </row>
    <row r="20" spans="1:31" ht="39.950000000000003" customHeight="1" x14ac:dyDescent="0.25">
      <c r="A20" s="30">
        <f t="shared" si="0"/>
        <v>7</v>
      </c>
      <c r="B20" s="39">
        <v>44287</v>
      </c>
      <c r="C20" s="37" t="s">
        <v>22</v>
      </c>
      <c r="D20" s="128" t="s">
        <v>100</v>
      </c>
      <c r="E20" s="37" t="s">
        <v>22</v>
      </c>
      <c r="F20" s="40" t="s">
        <v>22</v>
      </c>
      <c r="G20" s="37" t="s">
        <v>22</v>
      </c>
      <c r="H20" s="41" t="s">
        <v>22</v>
      </c>
      <c r="I20" s="38" t="s">
        <v>22</v>
      </c>
      <c r="J20" s="128" t="s">
        <v>100</v>
      </c>
      <c r="K20" s="71">
        <v>1</v>
      </c>
      <c r="L20" s="72">
        <v>1</v>
      </c>
      <c r="M20" s="71">
        <v>1</v>
      </c>
      <c r="N20" s="72">
        <v>1</v>
      </c>
      <c r="O20" s="71">
        <v>1</v>
      </c>
      <c r="P20" s="72">
        <v>1</v>
      </c>
      <c r="Q20" s="71">
        <v>1</v>
      </c>
      <c r="R20" s="72">
        <v>1</v>
      </c>
      <c r="S20" s="287">
        <v>1</v>
      </c>
      <c r="T20" s="291" t="s">
        <v>22</v>
      </c>
      <c r="U20" s="126">
        <v>1</v>
      </c>
      <c r="V20" s="127">
        <v>1</v>
      </c>
      <c r="W20" s="126">
        <v>1</v>
      </c>
      <c r="X20" s="127">
        <v>1</v>
      </c>
      <c r="Y20" s="126">
        <v>1</v>
      </c>
      <c r="Z20" s="127">
        <v>1</v>
      </c>
      <c r="AA20" s="126">
        <v>1</v>
      </c>
      <c r="AB20" s="127">
        <v>1</v>
      </c>
      <c r="AC20" s="275">
        <v>1</v>
      </c>
      <c r="AD20" s="292" t="s">
        <v>22</v>
      </c>
      <c r="AE20" s="293" t="s">
        <v>22</v>
      </c>
    </row>
    <row r="21" spans="1:31" ht="39.950000000000003" customHeight="1" x14ac:dyDescent="0.25">
      <c r="A21" s="30">
        <f t="shared" si="0"/>
        <v>8</v>
      </c>
      <c r="B21" s="39">
        <v>44317</v>
      </c>
      <c r="C21" s="37" t="s">
        <v>22</v>
      </c>
      <c r="D21" s="128" t="s">
        <v>100</v>
      </c>
      <c r="E21" s="37" t="s">
        <v>22</v>
      </c>
      <c r="F21" s="40" t="s">
        <v>22</v>
      </c>
      <c r="G21" s="37" t="s">
        <v>22</v>
      </c>
      <c r="H21" s="41" t="s">
        <v>22</v>
      </c>
      <c r="I21" s="38" t="s">
        <v>22</v>
      </c>
      <c r="J21" s="128" t="s">
        <v>100</v>
      </c>
      <c r="K21" s="71">
        <v>1</v>
      </c>
      <c r="L21" s="72">
        <v>1</v>
      </c>
      <c r="M21" s="71">
        <v>1</v>
      </c>
      <c r="N21" s="72">
        <v>1</v>
      </c>
      <c r="O21" s="71">
        <v>1</v>
      </c>
      <c r="P21" s="72">
        <v>1</v>
      </c>
      <c r="Q21" s="71">
        <v>1</v>
      </c>
      <c r="R21" s="72">
        <v>1</v>
      </c>
      <c r="S21" s="287">
        <v>1</v>
      </c>
      <c r="T21" s="291" t="s">
        <v>22</v>
      </c>
      <c r="U21" s="126">
        <v>1</v>
      </c>
      <c r="V21" s="127">
        <v>1</v>
      </c>
      <c r="W21" s="126">
        <v>1</v>
      </c>
      <c r="X21" s="127">
        <v>1</v>
      </c>
      <c r="Y21" s="126">
        <v>1</v>
      </c>
      <c r="Z21" s="127">
        <v>1</v>
      </c>
      <c r="AA21" s="126">
        <v>1</v>
      </c>
      <c r="AB21" s="127">
        <v>1</v>
      </c>
      <c r="AC21" s="275">
        <v>1</v>
      </c>
      <c r="AD21" s="292" t="s">
        <v>22</v>
      </c>
      <c r="AE21" s="293" t="s">
        <v>273</v>
      </c>
    </row>
    <row r="22" spans="1:31" ht="39.950000000000003" customHeight="1" x14ac:dyDescent="0.25">
      <c r="A22" s="30">
        <f t="shared" si="0"/>
        <v>9</v>
      </c>
      <c r="B22" s="39">
        <v>44348</v>
      </c>
      <c r="C22" s="37" t="s">
        <v>22</v>
      </c>
      <c r="D22" s="128" t="s">
        <v>104</v>
      </c>
      <c r="E22" s="37" t="s">
        <v>22</v>
      </c>
      <c r="F22" s="40" t="s">
        <v>22</v>
      </c>
      <c r="G22" s="37" t="s">
        <v>22</v>
      </c>
      <c r="H22" s="41" t="s">
        <v>22</v>
      </c>
      <c r="I22" s="38" t="s">
        <v>22</v>
      </c>
      <c r="J22" s="128" t="s">
        <v>104</v>
      </c>
      <c r="K22" s="71">
        <v>1</v>
      </c>
      <c r="L22" s="72">
        <v>1</v>
      </c>
      <c r="M22" s="71">
        <v>1</v>
      </c>
      <c r="N22" s="72">
        <v>1</v>
      </c>
      <c r="O22" s="71">
        <v>1</v>
      </c>
      <c r="P22" s="72">
        <v>1</v>
      </c>
      <c r="Q22" s="71">
        <v>1</v>
      </c>
      <c r="R22" s="72">
        <v>1</v>
      </c>
      <c r="S22" s="287">
        <v>1</v>
      </c>
      <c r="T22" s="291" t="s">
        <v>22</v>
      </c>
      <c r="U22" s="126">
        <v>1</v>
      </c>
      <c r="V22" s="127">
        <v>1</v>
      </c>
      <c r="W22" s="126">
        <v>1</v>
      </c>
      <c r="X22" s="127">
        <v>1</v>
      </c>
      <c r="Y22" s="126">
        <v>1</v>
      </c>
      <c r="Z22" s="127">
        <v>1</v>
      </c>
      <c r="AA22" s="126">
        <v>1</v>
      </c>
      <c r="AB22" s="127">
        <v>1</v>
      </c>
      <c r="AC22" s="275">
        <v>1</v>
      </c>
      <c r="AD22" s="292" t="s">
        <v>22</v>
      </c>
      <c r="AE22" s="293" t="s">
        <v>273</v>
      </c>
    </row>
    <row r="23" spans="1:31" ht="39.950000000000003" customHeight="1" x14ac:dyDescent="0.25">
      <c r="A23" s="30">
        <f t="shared" si="0"/>
        <v>10</v>
      </c>
      <c r="B23" s="39">
        <v>44378</v>
      </c>
      <c r="C23" s="37" t="s">
        <v>22</v>
      </c>
      <c r="D23" s="128" t="s">
        <v>100</v>
      </c>
      <c r="E23" s="37" t="s">
        <v>22</v>
      </c>
      <c r="F23" s="40" t="s">
        <v>22</v>
      </c>
      <c r="G23" s="37" t="s">
        <v>22</v>
      </c>
      <c r="H23" s="41" t="s">
        <v>22</v>
      </c>
      <c r="I23" s="38" t="s">
        <v>22</v>
      </c>
      <c r="J23" s="128" t="s">
        <v>100</v>
      </c>
      <c r="K23" s="71">
        <v>1</v>
      </c>
      <c r="L23" s="72">
        <v>1</v>
      </c>
      <c r="M23" s="71">
        <v>1</v>
      </c>
      <c r="N23" s="72">
        <v>1</v>
      </c>
      <c r="O23" s="71">
        <v>1</v>
      </c>
      <c r="P23" s="72">
        <v>1</v>
      </c>
      <c r="Q23" s="71">
        <v>1</v>
      </c>
      <c r="R23" s="72">
        <v>1</v>
      </c>
      <c r="S23" s="287">
        <v>1</v>
      </c>
      <c r="T23" s="291" t="s">
        <v>22</v>
      </c>
      <c r="U23" s="126">
        <v>1</v>
      </c>
      <c r="V23" s="127">
        <v>1</v>
      </c>
      <c r="W23" s="126">
        <v>1</v>
      </c>
      <c r="X23" s="127">
        <v>1</v>
      </c>
      <c r="Y23" s="126">
        <v>1</v>
      </c>
      <c r="Z23" s="127">
        <v>1</v>
      </c>
      <c r="AA23" s="126">
        <v>1</v>
      </c>
      <c r="AB23" s="127">
        <v>1</v>
      </c>
      <c r="AC23" s="275">
        <v>1</v>
      </c>
      <c r="AD23" s="292" t="s">
        <v>22</v>
      </c>
      <c r="AE23" s="293" t="s">
        <v>273</v>
      </c>
    </row>
    <row r="24" spans="1:31" ht="39.950000000000003" customHeight="1" x14ac:dyDescent="0.25">
      <c r="A24" s="30">
        <f t="shared" si="0"/>
        <v>11</v>
      </c>
      <c r="B24" s="39">
        <v>44409</v>
      </c>
      <c r="C24" s="37" t="s">
        <v>22</v>
      </c>
      <c r="D24" s="128" t="s">
        <v>100</v>
      </c>
      <c r="E24" s="37" t="s">
        <v>22</v>
      </c>
      <c r="F24" s="40" t="s">
        <v>22</v>
      </c>
      <c r="G24" s="37" t="s">
        <v>22</v>
      </c>
      <c r="H24" s="41" t="s">
        <v>22</v>
      </c>
      <c r="I24" s="38" t="s">
        <v>22</v>
      </c>
      <c r="J24" s="128" t="s">
        <v>100</v>
      </c>
      <c r="K24" s="71">
        <v>1</v>
      </c>
      <c r="L24" s="72">
        <v>1</v>
      </c>
      <c r="M24" s="71">
        <v>1</v>
      </c>
      <c r="N24" s="72">
        <v>1</v>
      </c>
      <c r="O24" s="71">
        <v>1</v>
      </c>
      <c r="P24" s="72">
        <v>1</v>
      </c>
      <c r="Q24" s="71">
        <v>1</v>
      </c>
      <c r="R24" s="72">
        <v>1</v>
      </c>
      <c r="S24" s="287">
        <v>1</v>
      </c>
      <c r="T24" s="291" t="s">
        <v>22</v>
      </c>
      <c r="U24" s="126">
        <v>1</v>
      </c>
      <c r="V24" s="127">
        <v>1</v>
      </c>
      <c r="W24" s="126">
        <v>1</v>
      </c>
      <c r="X24" s="127">
        <v>1</v>
      </c>
      <c r="Y24" s="126">
        <v>1</v>
      </c>
      <c r="Z24" s="127">
        <v>1</v>
      </c>
      <c r="AA24" s="126">
        <v>1</v>
      </c>
      <c r="AB24" s="127">
        <v>1</v>
      </c>
      <c r="AC24" s="275">
        <v>1</v>
      </c>
      <c r="AD24" s="292" t="s">
        <v>22</v>
      </c>
      <c r="AE24" s="293" t="s">
        <v>273</v>
      </c>
    </row>
    <row r="25" spans="1:31" ht="39.950000000000003" customHeight="1" x14ac:dyDescent="0.25">
      <c r="A25" s="30">
        <f t="shared" si="0"/>
        <v>12</v>
      </c>
      <c r="B25" s="39">
        <v>44440</v>
      </c>
      <c r="C25" s="37" t="s">
        <v>22</v>
      </c>
      <c r="D25" s="128" t="s">
        <v>104</v>
      </c>
      <c r="E25" s="37" t="s">
        <v>22</v>
      </c>
      <c r="F25" s="40" t="s">
        <v>22</v>
      </c>
      <c r="G25" s="37" t="s">
        <v>22</v>
      </c>
      <c r="H25" s="41" t="s">
        <v>22</v>
      </c>
      <c r="I25" s="38" t="s">
        <v>22</v>
      </c>
      <c r="J25" s="128" t="s">
        <v>104</v>
      </c>
      <c r="K25" s="71">
        <v>1</v>
      </c>
      <c r="L25" s="72">
        <v>1</v>
      </c>
      <c r="M25" s="71">
        <v>1</v>
      </c>
      <c r="N25" s="72">
        <v>1</v>
      </c>
      <c r="O25" s="71">
        <v>1</v>
      </c>
      <c r="P25" s="72">
        <v>1</v>
      </c>
      <c r="Q25" s="71">
        <v>1</v>
      </c>
      <c r="R25" s="72">
        <v>1</v>
      </c>
      <c r="S25" s="287">
        <v>1</v>
      </c>
      <c r="T25" s="291" t="s">
        <v>22</v>
      </c>
      <c r="U25" s="126">
        <v>1</v>
      </c>
      <c r="V25" s="127">
        <v>1</v>
      </c>
      <c r="W25" s="126">
        <v>1</v>
      </c>
      <c r="X25" s="127">
        <v>1</v>
      </c>
      <c r="Y25" s="126">
        <v>1</v>
      </c>
      <c r="Z25" s="127">
        <v>1</v>
      </c>
      <c r="AA25" s="126">
        <v>1</v>
      </c>
      <c r="AB25" s="127">
        <v>1</v>
      </c>
      <c r="AC25" s="275">
        <v>1</v>
      </c>
      <c r="AD25" s="292" t="s">
        <v>22</v>
      </c>
      <c r="AE25" s="293" t="s">
        <v>273</v>
      </c>
    </row>
    <row r="26" spans="1:31" ht="39.950000000000003" customHeight="1" x14ac:dyDescent="0.25">
      <c r="A26" s="30">
        <f t="shared" si="0"/>
        <v>13</v>
      </c>
      <c r="B26" s="39">
        <v>44105</v>
      </c>
      <c r="C26" s="37" t="s">
        <v>22</v>
      </c>
      <c r="D26" s="128" t="s">
        <v>100</v>
      </c>
      <c r="E26" s="37" t="s">
        <v>22</v>
      </c>
      <c r="F26" s="40" t="s">
        <v>22</v>
      </c>
      <c r="G26" s="37" t="s">
        <v>22</v>
      </c>
      <c r="H26" s="41" t="s">
        <v>22</v>
      </c>
      <c r="I26" s="38" t="s">
        <v>22</v>
      </c>
      <c r="J26" s="128" t="s">
        <v>100</v>
      </c>
      <c r="K26" s="71">
        <v>1</v>
      </c>
      <c r="L26" s="72">
        <v>1</v>
      </c>
      <c r="M26" s="71">
        <v>1</v>
      </c>
      <c r="N26" s="72">
        <v>1</v>
      </c>
      <c r="O26" s="71">
        <v>1</v>
      </c>
      <c r="P26" s="72">
        <v>1</v>
      </c>
      <c r="Q26" s="71">
        <v>1</v>
      </c>
      <c r="R26" s="72">
        <v>1</v>
      </c>
      <c r="S26" s="287">
        <v>1</v>
      </c>
      <c r="T26" s="291" t="s">
        <v>22</v>
      </c>
      <c r="U26" s="126">
        <v>1</v>
      </c>
      <c r="V26" s="127">
        <v>1</v>
      </c>
      <c r="W26" s="126">
        <v>1</v>
      </c>
      <c r="X26" s="127">
        <v>1</v>
      </c>
      <c r="Y26" s="126">
        <v>1</v>
      </c>
      <c r="Z26" s="127">
        <v>1</v>
      </c>
      <c r="AA26" s="126">
        <v>1</v>
      </c>
      <c r="AB26" s="127">
        <v>1</v>
      </c>
      <c r="AC26" s="275">
        <v>1</v>
      </c>
      <c r="AD26" s="292" t="s">
        <v>22</v>
      </c>
      <c r="AE26" s="293" t="s">
        <v>22</v>
      </c>
    </row>
    <row r="27" spans="1:31" ht="39.950000000000003" customHeight="1" x14ac:dyDescent="0.25">
      <c r="A27" s="30">
        <f t="shared" si="0"/>
        <v>14</v>
      </c>
      <c r="B27" s="39">
        <v>44136</v>
      </c>
      <c r="C27" s="37" t="s">
        <v>22</v>
      </c>
      <c r="D27" s="128" t="s">
        <v>104</v>
      </c>
      <c r="E27" s="37" t="s">
        <v>22</v>
      </c>
      <c r="F27" s="40" t="s">
        <v>22</v>
      </c>
      <c r="G27" s="37" t="s">
        <v>22</v>
      </c>
      <c r="H27" s="41" t="s">
        <v>22</v>
      </c>
      <c r="I27" s="38" t="s">
        <v>22</v>
      </c>
      <c r="J27" s="128" t="s">
        <v>104</v>
      </c>
      <c r="K27" s="71">
        <v>1</v>
      </c>
      <c r="L27" s="72">
        <v>1</v>
      </c>
      <c r="M27" s="71">
        <v>1</v>
      </c>
      <c r="N27" s="72">
        <v>1</v>
      </c>
      <c r="O27" s="71">
        <v>1</v>
      </c>
      <c r="P27" s="72">
        <v>1</v>
      </c>
      <c r="Q27" s="71">
        <v>1</v>
      </c>
      <c r="R27" s="72">
        <v>1</v>
      </c>
      <c r="S27" s="287">
        <v>1</v>
      </c>
      <c r="T27" s="291" t="s">
        <v>22</v>
      </c>
      <c r="U27" s="126">
        <v>1</v>
      </c>
      <c r="V27" s="127">
        <v>1</v>
      </c>
      <c r="W27" s="126">
        <v>1</v>
      </c>
      <c r="X27" s="127">
        <v>1</v>
      </c>
      <c r="Y27" s="126">
        <v>1</v>
      </c>
      <c r="Z27" s="127">
        <v>1</v>
      </c>
      <c r="AA27" s="126">
        <v>1</v>
      </c>
      <c r="AB27" s="127">
        <v>1</v>
      </c>
      <c r="AC27" s="275">
        <v>1</v>
      </c>
      <c r="AD27" s="292" t="s">
        <v>22</v>
      </c>
      <c r="AE27" s="293" t="s">
        <v>22</v>
      </c>
    </row>
    <row r="28" spans="1:31" ht="39.950000000000003" customHeight="1" x14ac:dyDescent="0.25">
      <c r="A28" s="30">
        <f t="shared" si="0"/>
        <v>15</v>
      </c>
      <c r="B28" s="39">
        <v>44166</v>
      </c>
      <c r="C28" s="37" t="s">
        <v>22</v>
      </c>
      <c r="D28" s="128" t="s">
        <v>100</v>
      </c>
      <c r="E28" s="37" t="s">
        <v>22</v>
      </c>
      <c r="F28" s="40" t="s">
        <v>22</v>
      </c>
      <c r="G28" s="37" t="s">
        <v>22</v>
      </c>
      <c r="H28" s="41" t="s">
        <v>22</v>
      </c>
      <c r="I28" s="38" t="s">
        <v>22</v>
      </c>
      <c r="J28" s="128" t="s">
        <v>100</v>
      </c>
      <c r="K28" s="71">
        <v>1</v>
      </c>
      <c r="L28" s="72">
        <v>1</v>
      </c>
      <c r="M28" s="71">
        <v>1</v>
      </c>
      <c r="N28" s="72">
        <v>1</v>
      </c>
      <c r="O28" s="71">
        <v>1</v>
      </c>
      <c r="P28" s="72">
        <v>1</v>
      </c>
      <c r="Q28" s="71">
        <v>1</v>
      </c>
      <c r="R28" s="72">
        <v>1</v>
      </c>
      <c r="S28" s="287">
        <v>1</v>
      </c>
      <c r="T28" s="291" t="s">
        <v>22</v>
      </c>
      <c r="U28" s="126">
        <v>1</v>
      </c>
      <c r="V28" s="127">
        <v>1</v>
      </c>
      <c r="W28" s="126">
        <v>1</v>
      </c>
      <c r="X28" s="127">
        <v>1</v>
      </c>
      <c r="Y28" s="126">
        <v>1</v>
      </c>
      <c r="Z28" s="127">
        <v>1</v>
      </c>
      <c r="AA28" s="126">
        <v>1</v>
      </c>
      <c r="AB28" s="127">
        <v>1</v>
      </c>
      <c r="AC28" s="275">
        <v>1</v>
      </c>
      <c r="AD28" s="292" t="s">
        <v>22</v>
      </c>
      <c r="AE28" s="293" t="s">
        <v>273</v>
      </c>
    </row>
    <row r="29" spans="1:31" ht="39.950000000000003" customHeight="1" x14ac:dyDescent="0.25">
      <c r="A29" s="30">
        <f t="shared" si="0"/>
        <v>16</v>
      </c>
      <c r="B29" s="39">
        <v>44197</v>
      </c>
      <c r="C29" s="37" t="s">
        <v>22</v>
      </c>
      <c r="D29" s="128" t="s">
        <v>104</v>
      </c>
      <c r="E29" s="37" t="s">
        <v>22</v>
      </c>
      <c r="F29" s="40" t="s">
        <v>22</v>
      </c>
      <c r="G29" s="37" t="s">
        <v>22</v>
      </c>
      <c r="H29" s="41" t="s">
        <v>22</v>
      </c>
      <c r="I29" s="38" t="s">
        <v>22</v>
      </c>
      <c r="J29" s="128" t="s">
        <v>104</v>
      </c>
      <c r="K29" s="71">
        <v>1</v>
      </c>
      <c r="L29" s="72">
        <v>1</v>
      </c>
      <c r="M29" s="71">
        <v>1</v>
      </c>
      <c r="N29" s="72">
        <v>1</v>
      </c>
      <c r="O29" s="71">
        <v>1</v>
      </c>
      <c r="P29" s="72">
        <v>1</v>
      </c>
      <c r="Q29" s="71">
        <v>1</v>
      </c>
      <c r="R29" s="72">
        <v>1</v>
      </c>
      <c r="S29" s="287">
        <v>1</v>
      </c>
      <c r="T29" s="291" t="s">
        <v>22</v>
      </c>
      <c r="U29" s="126">
        <v>1</v>
      </c>
      <c r="V29" s="127">
        <v>1</v>
      </c>
      <c r="W29" s="126">
        <v>1</v>
      </c>
      <c r="X29" s="127">
        <v>1</v>
      </c>
      <c r="Y29" s="126">
        <v>1</v>
      </c>
      <c r="Z29" s="127">
        <v>1</v>
      </c>
      <c r="AA29" s="126">
        <v>1</v>
      </c>
      <c r="AB29" s="127">
        <v>1</v>
      </c>
      <c r="AC29" s="275">
        <v>1</v>
      </c>
      <c r="AD29" s="292" t="s">
        <v>22</v>
      </c>
      <c r="AE29" s="293" t="s">
        <v>273</v>
      </c>
    </row>
    <row r="30" spans="1:31" ht="39.950000000000003" customHeight="1" x14ac:dyDescent="0.25">
      <c r="A30" s="30">
        <f t="shared" si="0"/>
        <v>17</v>
      </c>
      <c r="B30" s="39">
        <v>44228</v>
      </c>
      <c r="C30" s="37" t="s">
        <v>22</v>
      </c>
      <c r="D30" s="128" t="s">
        <v>100</v>
      </c>
      <c r="E30" s="37" t="s">
        <v>22</v>
      </c>
      <c r="F30" s="40" t="s">
        <v>22</v>
      </c>
      <c r="G30" s="37" t="s">
        <v>22</v>
      </c>
      <c r="H30" s="41" t="s">
        <v>22</v>
      </c>
      <c r="I30" s="38" t="s">
        <v>22</v>
      </c>
      <c r="J30" s="128" t="s">
        <v>100</v>
      </c>
      <c r="K30" s="71">
        <v>1</v>
      </c>
      <c r="L30" s="72">
        <v>1</v>
      </c>
      <c r="M30" s="71">
        <v>1</v>
      </c>
      <c r="N30" s="72">
        <v>1</v>
      </c>
      <c r="O30" s="71">
        <v>1</v>
      </c>
      <c r="P30" s="72">
        <v>1</v>
      </c>
      <c r="Q30" s="71">
        <v>1</v>
      </c>
      <c r="R30" s="72">
        <v>1</v>
      </c>
      <c r="S30" s="287">
        <v>1</v>
      </c>
      <c r="T30" s="291" t="s">
        <v>22</v>
      </c>
      <c r="U30" s="126">
        <v>1</v>
      </c>
      <c r="V30" s="127">
        <v>1</v>
      </c>
      <c r="W30" s="126">
        <v>1</v>
      </c>
      <c r="X30" s="127">
        <v>1</v>
      </c>
      <c r="Y30" s="126">
        <v>1</v>
      </c>
      <c r="Z30" s="127">
        <v>1</v>
      </c>
      <c r="AA30" s="126">
        <v>1</v>
      </c>
      <c r="AB30" s="127">
        <v>1</v>
      </c>
      <c r="AC30" s="275">
        <v>1</v>
      </c>
      <c r="AD30" s="292" t="s">
        <v>22</v>
      </c>
      <c r="AE30" s="293" t="s">
        <v>273</v>
      </c>
    </row>
    <row r="31" spans="1:31" ht="39.950000000000003" customHeight="1" x14ac:dyDescent="0.25">
      <c r="A31" s="30">
        <f t="shared" si="0"/>
        <v>18</v>
      </c>
      <c r="B31" s="39">
        <v>44256</v>
      </c>
      <c r="C31" s="37" t="s">
        <v>22</v>
      </c>
      <c r="D31" s="128" t="s">
        <v>100</v>
      </c>
      <c r="E31" s="37" t="s">
        <v>22</v>
      </c>
      <c r="F31" s="40" t="s">
        <v>22</v>
      </c>
      <c r="G31" s="37" t="s">
        <v>22</v>
      </c>
      <c r="H31" s="41" t="s">
        <v>22</v>
      </c>
      <c r="I31" s="38" t="s">
        <v>22</v>
      </c>
      <c r="J31" s="128" t="s">
        <v>100</v>
      </c>
      <c r="K31" s="71">
        <v>1</v>
      </c>
      <c r="L31" s="72">
        <v>1</v>
      </c>
      <c r="M31" s="71">
        <v>1</v>
      </c>
      <c r="N31" s="72">
        <v>1</v>
      </c>
      <c r="O31" s="71">
        <v>1</v>
      </c>
      <c r="P31" s="72">
        <v>1</v>
      </c>
      <c r="Q31" s="71">
        <v>1</v>
      </c>
      <c r="R31" s="72">
        <v>1</v>
      </c>
      <c r="S31" s="287">
        <v>1</v>
      </c>
      <c r="T31" s="291" t="s">
        <v>22</v>
      </c>
      <c r="U31" s="126">
        <v>1</v>
      </c>
      <c r="V31" s="127">
        <v>1</v>
      </c>
      <c r="W31" s="126">
        <v>1</v>
      </c>
      <c r="X31" s="127">
        <v>1</v>
      </c>
      <c r="Y31" s="126">
        <v>1</v>
      </c>
      <c r="Z31" s="127">
        <v>1</v>
      </c>
      <c r="AA31" s="126">
        <v>1</v>
      </c>
      <c r="AB31" s="127">
        <v>1</v>
      </c>
      <c r="AC31" s="275">
        <v>1</v>
      </c>
      <c r="AD31" s="292" t="s">
        <v>22</v>
      </c>
      <c r="AE31" s="293" t="s">
        <v>273</v>
      </c>
    </row>
    <row r="32" spans="1:31" ht="39.950000000000003" customHeight="1" x14ac:dyDescent="0.25">
      <c r="A32" s="30">
        <f t="shared" si="0"/>
        <v>19</v>
      </c>
      <c r="B32" s="39">
        <v>44287</v>
      </c>
      <c r="C32" s="37" t="s">
        <v>22</v>
      </c>
      <c r="D32" s="128" t="s">
        <v>104</v>
      </c>
      <c r="E32" s="37" t="s">
        <v>22</v>
      </c>
      <c r="F32" s="40" t="s">
        <v>22</v>
      </c>
      <c r="G32" s="37" t="s">
        <v>22</v>
      </c>
      <c r="H32" s="41" t="s">
        <v>22</v>
      </c>
      <c r="I32" s="38" t="s">
        <v>22</v>
      </c>
      <c r="J32" s="128" t="s">
        <v>104</v>
      </c>
      <c r="K32" s="71">
        <v>1</v>
      </c>
      <c r="L32" s="72">
        <v>1</v>
      </c>
      <c r="M32" s="71">
        <v>1</v>
      </c>
      <c r="N32" s="72">
        <v>1</v>
      </c>
      <c r="O32" s="71">
        <v>1</v>
      </c>
      <c r="P32" s="72">
        <v>1</v>
      </c>
      <c r="Q32" s="71">
        <v>1</v>
      </c>
      <c r="R32" s="72">
        <v>1</v>
      </c>
      <c r="S32" s="287">
        <v>1</v>
      </c>
      <c r="T32" s="291" t="s">
        <v>22</v>
      </c>
      <c r="U32" s="126">
        <v>1</v>
      </c>
      <c r="V32" s="127">
        <v>1</v>
      </c>
      <c r="W32" s="126">
        <v>1</v>
      </c>
      <c r="X32" s="127">
        <v>1</v>
      </c>
      <c r="Y32" s="126">
        <v>1</v>
      </c>
      <c r="Z32" s="127">
        <v>1</v>
      </c>
      <c r="AA32" s="126">
        <v>1</v>
      </c>
      <c r="AB32" s="127">
        <v>1</v>
      </c>
      <c r="AC32" s="275">
        <v>1</v>
      </c>
      <c r="AD32" s="292" t="s">
        <v>22</v>
      </c>
      <c r="AE32" s="293" t="s">
        <v>273</v>
      </c>
    </row>
    <row r="33" spans="1:31" ht="39.950000000000003" customHeight="1" x14ac:dyDescent="0.25">
      <c r="A33" s="30">
        <f t="shared" si="0"/>
        <v>20</v>
      </c>
      <c r="B33" s="39">
        <v>44317</v>
      </c>
      <c r="C33" s="37" t="s">
        <v>22</v>
      </c>
      <c r="D33" s="128" t="s">
        <v>100</v>
      </c>
      <c r="E33" s="37" t="s">
        <v>22</v>
      </c>
      <c r="F33" s="40" t="s">
        <v>22</v>
      </c>
      <c r="G33" s="37" t="s">
        <v>22</v>
      </c>
      <c r="H33" s="41" t="s">
        <v>22</v>
      </c>
      <c r="I33" s="38" t="s">
        <v>22</v>
      </c>
      <c r="J33" s="128" t="s">
        <v>100</v>
      </c>
      <c r="K33" s="71">
        <v>1</v>
      </c>
      <c r="L33" s="72">
        <v>1</v>
      </c>
      <c r="M33" s="71">
        <v>1</v>
      </c>
      <c r="N33" s="72">
        <v>1</v>
      </c>
      <c r="O33" s="71">
        <v>1</v>
      </c>
      <c r="P33" s="72">
        <v>1</v>
      </c>
      <c r="Q33" s="71">
        <v>1</v>
      </c>
      <c r="R33" s="72">
        <v>1</v>
      </c>
      <c r="S33" s="287">
        <v>1</v>
      </c>
      <c r="T33" s="291" t="s">
        <v>22</v>
      </c>
      <c r="U33" s="126">
        <v>1</v>
      </c>
      <c r="V33" s="127">
        <v>1</v>
      </c>
      <c r="W33" s="126">
        <v>1</v>
      </c>
      <c r="X33" s="127">
        <v>1</v>
      </c>
      <c r="Y33" s="126">
        <v>1</v>
      </c>
      <c r="Z33" s="127">
        <v>1</v>
      </c>
      <c r="AA33" s="126">
        <v>1</v>
      </c>
      <c r="AB33" s="127">
        <v>1</v>
      </c>
      <c r="AC33" s="275">
        <v>1</v>
      </c>
      <c r="AD33" s="292" t="s">
        <v>22</v>
      </c>
      <c r="AE33" s="293" t="s">
        <v>22</v>
      </c>
    </row>
    <row r="34" spans="1:31" ht="39.950000000000003" customHeight="1" x14ac:dyDescent="0.25">
      <c r="A34" s="30">
        <f t="shared" si="0"/>
        <v>21</v>
      </c>
      <c r="B34" s="39">
        <v>44348</v>
      </c>
      <c r="C34" s="37" t="s">
        <v>22</v>
      </c>
      <c r="D34" s="128" t="s">
        <v>100</v>
      </c>
      <c r="E34" s="37" t="s">
        <v>22</v>
      </c>
      <c r="F34" s="40" t="s">
        <v>22</v>
      </c>
      <c r="G34" s="37" t="s">
        <v>22</v>
      </c>
      <c r="H34" s="41" t="s">
        <v>22</v>
      </c>
      <c r="I34" s="38" t="s">
        <v>22</v>
      </c>
      <c r="J34" s="128" t="s">
        <v>100</v>
      </c>
      <c r="K34" s="71">
        <v>1</v>
      </c>
      <c r="L34" s="72">
        <v>1</v>
      </c>
      <c r="M34" s="71">
        <v>1</v>
      </c>
      <c r="N34" s="72">
        <v>1</v>
      </c>
      <c r="O34" s="71">
        <v>1</v>
      </c>
      <c r="P34" s="72">
        <v>1</v>
      </c>
      <c r="Q34" s="71">
        <v>1</v>
      </c>
      <c r="R34" s="72">
        <v>1</v>
      </c>
      <c r="S34" s="287">
        <v>1</v>
      </c>
      <c r="T34" s="291" t="s">
        <v>22</v>
      </c>
      <c r="U34" s="126">
        <v>1</v>
      </c>
      <c r="V34" s="127">
        <v>1</v>
      </c>
      <c r="W34" s="126">
        <v>1</v>
      </c>
      <c r="X34" s="127">
        <v>1</v>
      </c>
      <c r="Y34" s="126">
        <v>1</v>
      </c>
      <c r="Z34" s="127">
        <v>1</v>
      </c>
      <c r="AA34" s="126">
        <v>1</v>
      </c>
      <c r="AB34" s="127">
        <v>1</v>
      </c>
      <c r="AC34" s="275">
        <v>1</v>
      </c>
      <c r="AD34" s="292" t="s">
        <v>22</v>
      </c>
      <c r="AE34" s="293" t="s">
        <v>22</v>
      </c>
    </row>
    <row r="35" spans="1:31" ht="39.950000000000003" customHeight="1" x14ac:dyDescent="0.25">
      <c r="A35" s="30">
        <f t="shared" si="0"/>
        <v>22</v>
      </c>
      <c r="B35" s="39">
        <v>44378</v>
      </c>
      <c r="C35" s="37" t="s">
        <v>22</v>
      </c>
      <c r="D35" s="128" t="s">
        <v>104</v>
      </c>
      <c r="E35" s="37" t="s">
        <v>22</v>
      </c>
      <c r="F35" s="40" t="s">
        <v>22</v>
      </c>
      <c r="G35" s="37" t="s">
        <v>22</v>
      </c>
      <c r="H35" s="41" t="s">
        <v>22</v>
      </c>
      <c r="I35" s="38" t="s">
        <v>22</v>
      </c>
      <c r="J35" s="128" t="s">
        <v>104</v>
      </c>
      <c r="K35" s="71">
        <v>1</v>
      </c>
      <c r="L35" s="72">
        <v>1</v>
      </c>
      <c r="M35" s="71">
        <v>1</v>
      </c>
      <c r="N35" s="72">
        <v>1</v>
      </c>
      <c r="O35" s="71">
        <v>1</v>
      </c>
      <c r="P35" s="72">
        <v>1</v>
      </c>
      <c r="Q35" s="71">
        <v>1</v>
      </c>
      <c r="R35" s="72">
        <v>1</v>
      </c>
      <c r="S35" s="287">
        <v>1</v>
      </c>
      <c r="T35" s="291" t="s">
        <v>22</v>
      </c>
      <c r="U35" s="126">
        <v>1</v>
      </c>
      <c r="V35" s="127">
        <v>1</v>
      </c>
      <c r="W35" s="126">
        <v>1</v>
      </c>
      <c r="X35" s="127">
        <v>1</v>
      </c>
      <c r="Y35" s="126">
        <v>1</v>
      </c>
      <c r="Z35" s="127">
        <v>1</v>
      </c>
      <c r="AA35" s="126">
        <v>1</v>
      </c>
      <c r="AB35" s="127">
        <v>1</v>
      </c>
      <c r="AC35" s="275">
        <v>1</v>
      </c>
      <c r="AD35" s="292" t="s">
        <v>22</v>
      </c>
      <c r="AE35" s="293" t="s">
        <v>273</v>
      </c>
    </row>
    <row r="36" spans="1:31" ht="39.950000000000003" customHeight="1" x14ac:dyDescent="0.25">
      <c r="A36" s="30">
        <f t="shared" si="0"/>
        <v>23</v>
      </c>
      <c r="B36" s="39">
        <v>44409</v>
      </c>
      <c r="C36" s="37" t="s">
        <v>22</v>
      </c>
      <c r="D36" s="128" t="s">
        <v>100</v>
      </c>
      <c r="E36" s="37" t="s">
        <v>22</v>
      </c>
      <c r="F36" s="40" t="s">
        <v>22</v>
      </c>
      <c r="G36" s="37" t="s">
        <v>22</v>
      </c>
      <c r="H36" s="41" t="s">
        <v>22</v>
      </c>
      <c r="I36" s="38" t="s">
        <v>22</v>
      </c>
      <c r="J36" s="128" t="s">
        <v>100</v>
      </c>
      <c r="K36" s="71">
        <v>1</v>
      </c>
      <c r="L36" s="72">
        <v>1</v>
      </c>
      <c r="M36" s="71">
        <v>1</v>
      </c>
      <c r="N36" s="72">
        <v>1</v>
      </c>
      <c r="O36" s="71">
        <v>1</v>
      </c>
      <c r="P36" s="72">
        <v>1</v>
      </c>
      <c r="Q36" s="71">
        <v>1</v>
      </c>
      <c r="R36" s="72">
        <v>1</v>
      </c>
      <c r="S36" s="287">
        <v>1</v>
      </c>
      <c r="T36" s="291" t="s">
        <v>22</v>
      </c>
      <c r="U36" s="126">
        <v>1</v>
      </c>
      <c r="V36" s="127">
        <v>1</v>
      </c>
      <c r="W36" s="126">
        <v>1</v>
      </c>
      <c r="X36" s="127">
        <v>1</v>
      </c>
      <c r="Y36" s="126">
        <v>1</v>
      </c>
      <c r="Z36" s="127">
        <v>1</v>
      </c>
      <c r="AA36" s="126">
        <v>1</v>
      </c>
      <c r="AB36" s="127">
        <v>1</v>
      </c>
      <c r="AC36" s="275">
        <v>1</v>
      </c>
      <c r="AD36" s="292" t="s">
        <v>22</v>
      </c>
      <c r="AE36" s="293" t="s">
        <v>273</v>
      </c>
    </row>
    <row r="37" spans="1:31" ht="39.950000000000003" customHeight="1" x14ac:dyDescent="0.25">
      <c r="A37" s="30">
        <f t="shared" si="0"/>
        <v>24</v>
      </c>
      <c r="B37" s="39">
        <v>44440</v>
      </c>
      <c r="C37" s="37" t="s">
        <v>22</v>
      </c>
      <c r="D37" s="128" t="s">
        <v>104</v>
      </c>
      <c r="E37" s="37" t="s">
        <v>22</v>
      </c>
      <c r="F37" s="40" t="s">
        <v>22</v>
      </c>
      <c r="G37" s="37" t="s">
        <v>22</v>
      </c>
      <c r="H37" s="41" t="s">
        <v>22</v>
      </c>
      <c r="I37" s="38" t="s">
        <v>22</v>
      </c>
      <c r="J37" s="128" t="s">
        <v>104</v>
      </c>
      <c r="K37" s="71">
        <v>1</v>
      </c>
      <c r="L37" s="72">
        <v>1</v>
      </c>
      <c r="M37" s="71">
        <v>1</v>
      </c>
      <c r="N37" s="72">
        <v>1</v>
      </c>
      <c r="O37" s="71">
        <v>1</v>
      </c>
      <c r="P37" s="72">
        <v>1</v>
      </c>
      <c r="Q37" s="71">
        <v>1</v>
      </c>
      <c r="R37" s="72">
        <v>1</v>
      </c>
      <c r="S37" s="287">
        <v>1</v>
      </c>
      <c r="T37" s="291" t="s">
        <v>22</v>
      </c>
      <c r="U37" s="126">
        <v>1</v>
      </c>
      <c r="V37" s="127">
        <v>1</v>
      </c>
      <c r="W37" s="126">
        <v>1</v>
      </c>
      <c r="X37" s="127">
        <v>1</v>
      </c>
      <c r="Y37" s="126">
        <v>1</v>
      </c>
      <c r="Z37" s="127">
        <v>1</v>
      </c>
      <c r="AA37" s="126">
        <v>1</v>
      </c>
      <c r="AB37" s="127">
        <v>1</v>
      </c>
      <c r="AC37" s="275">
        <v>1</v>
      </c>
      <c r="AD37" s="292" t="s">
        <v>22</v>
      </c>
      <c r="AE37" s="293" t="s">
        <v>273</v>
      </c>
    </row>
    <row r="38" spans="1:31" ht="39.950000000000003" customHeight="1" x14ac:dyDescent="0.25">
      <c r="A38" s="30">
        <f t="shared" si="0"/>
        <v>25</v>
      </c>
      <c r="B38" s="39">
        <v>44105</v>
      </c>
      <c r="C38" s="37" t="s">
        <v>22</v>
      </c>
      <c r="D38" s="128" t="s">
        <v>100</v>
      </c>
      <c r="E38" s="37" t="s">
        <v>22</v>
      </c>
      <c r="F38" s="40" t="s">
        <v>22</v>
      </c>
      <c r="G38" s="37" t="s">
        <v>22</v>
      </c>
      <c r="H38" s="41" t="s">
        <v>22</v>
      </c>
      <c r="I38" s="38" t="s">
        <v>22</v>
      </c>
      <c r="J38" s="128" t="s">
        <v>100</v>
      </c>
      <c r="K38" s="71">
        <v>1</v>
      </c>
      <c r="L38" s="72">
        <v>1</v>
      </c>
      <c r="M38" s="71">
        <v>1</v>
      </c>
      <c r="N38" s="72">
        <v>1</v>
      </c>
      <c r="O38" s="71">
        <v>1</v>
      </c>
      <c r="P38" s="72">
        <v>1</v>
      </c>
      <c r="Q38" s="71">
        <v>1</v>
      </c>
      <c r="R38" s="72">
        <v>1</v>
      </c>
      <c r="S38" s="287">
        <v>1</v>
      </c>
      <c r="T38" s="291" t="s">
        <v>22</v>
      </c>
      <c r="U38" s="126">
        <v>1</v>
      </c>
      <c r="V38" s="127">
        <v>1</v>
      </c>
      <c r="W38" s="126">
        <v>1</v>
      </c>
      <c r="X38" s="127">
        <v>1</v>
      </c>
      <c r="Y38" s="126">
        <v>1</v>
      </c>
      <c r="Z38" s="127">
        <v>1</v>
      </c>
      <c r="AA38" s="126">
        <v>1</v>
      </c>
      <c r="AB38" s="127">
        <v>1</v>
      </c>
      <c r="AC38" s="275">
        <v>1</v>
      </c>
      <c r="AD38" s="292" t="s">
        <v>22</v>
      </c>
      <c r="AE38" s="293" t="s">
        <v>273</v>
      </c>
    </row>
    <row r="39" spans="1:31" ht="39.950000000000003" customHeight="1" x14ac:dyDescent="0.25">
      <c r="A39" s="30">
        <f t="shared" si="0"/>
        <v>26</v>
      </c>
      <c r="B39" s="39">
        <v>44136</v>
      </c>
      <c r="C39" s="37" t="s">
        <v>22</v>
      </c>
      <c r="D39" s="128" t="s">
        <v>104</v>
      </c>
      <c r="E39" s="37" t="s">
        <v>22</v>
      </c>
      <c r="F39" s="40" t="s">
        <v>22</v>
      </c>
      <c r="G39" s="37" t="s">
        <v>22</v>
      </c>
      <c r="H39" s="41" t="s">
        <v>22</v>
      </c>
      <c r="I39" s="38" t="s">
        <v>22</v>
      </c>
      <c r="J39" s="128" t="s">
        <v>104</v>
      </c>
      <c r="K39" s="71">
        <v>1</v>
      </c>
      <c r="L39" s="72">
        <v>1</v>
      </c>
      <c r="M39" s="71">
        <v>1</v>
      </c>
      <c r="N39" s="72">
        <v>1</v>
      </c>
      <c r="O39" s="71">
        <v>1</v>
      </c>
      <c r="P39" s="72">
        <v>1</v>
      </c>
      <c r="Q39" s="71">
        <v>1</v>
      </c>
      <c r="R39" s="72">
        <v>1</v>
      </c>
      <c r="S39" s="287">
        <v>1</v>
      </c>
      <c r="T39" s="291" t="s">
        <v>22</v>
      </c>
      <c r="U39" s="126">
        <v>1</v>
      </c>
      <c r="V39" s="127">
        <v>1</v>
      </c>
      <c r="W39" s="126">
        <v>1</v>
      </c>
      <c r="X39" s="127">
        <v>1</v>
      </c>
      <c r="Y39" s="126">
        <v>1</v>
      </c>
      <c r="Z39" s="127">
        <v>1</v>
      </c>
      <c r="AA39" s="126">
        <v>1</v>
      </c>
      <c r="AB39" s="127">
        <v>1</v>
      </c>
      <c r="AC39" s="275">
        <v>1</v>
      </c>
      <c r="AD39" s="292" t="s">
        <v>22</v>
      </c>
      <c r="AE39" s="293" t="s">
        <v>273</v>
      </c>
    </row>
    <row r="40" spans="1:31" ht="39.950000000000003" customHeight="1" x14ac:dyDescent="0.25">
      <c r="A40" s="30">
        <f t="shared" si="0"/>
        <v>27</v>
      </c>
      <c r="B40" s="39">
        <v>44166</v>
      </c>
      <c r="C40" s="37" t="s">
        <v>22</v>
      </c>
      <c r="D40" s="128" t="s">
        <v>100</v>
      </c>
      <c r="E40" s="37" t="s">
        <v>22</v>
      </c>
      <c r="F40" s="40" t="s">
        <v>22</v>
      </c>
      <c r="G40" s="37" t="s">
        <v>22</v>
      </c>
      <c r="H40" s="41" t="s">
        <v>22</v>
      </c>
      <c r="I40" s="38" t="s">
        <v>22</v>
      </c>
      <c r="J40" s="128" t="s">
        <v>100</v>
      </c>
      <c r="K40" s="71">
        <v>1</v>
      </c>
      <c r="L40" s="72">
        <v>1</v>
      </c>
      <c r="M40" s="71">
        <v>1</v>
      </c>
      <c r="N40" s="72">
        <v>1</v>
      </c>
      <c r="O40" s="71">
        <v>1</v>
      </c>
      <c r="P40" s="72">
        <v>1</v>
      </c>
      <c r="Q40" s="71">
        <v>1</v>
      </c>
      <c r="R40" s="72">
        <v>1</v>
      </c>
      <c r="S40" s="287">
        <v>1</v>
      </c>
      <c r="T40" s="291" t="s">
        <v>22</v>
      </c>
      <c r="U40" s="126">
        <v>1</v>
      </c>
      <c r="V40" s="127">
        <v>1</v>
      </c>
      <c r="W40" s="126">
        <v>1</v>
      </c>
      <c r="X40" s="127">
        <v>1</v>
      </c>
      <c r="Y40" s="126">
        <v>1</v>
      </c>
      <c r="Z40" s="127">
        <v>1</v>
      </c>
      <c r="AA40" s="126">
        <v>1</v>
      </c>
      <c r="AB40" s="127">
        <v>1</v>
      </c>
      <c r="AC40" s="275">
        <v>1</v>
      </c>
      <c r="AD40" s="292" t="s">
        <v>22</v>
      </c>
      <c r="AE40" s="293" t="s">
        <v>22</v>
      </c>
    </row>
    <row r="41" spans="1:31" ht="39.950000000000003" customHeight="1" x14ac:dyDescent="0.25">
      <c r="A41" s="30">
        <f t="shared" si="0"/>
        <v>28</v>
      </c>
      <c r="B41" s="39">
        <v>44197</v>
      </c>
      <c r="C41" s="37" t="s">
        <v>22</v>
      </c>
      <c r="D41" s="128" t="s">
        <v>100</v>
      </c>
      <c r="E41" s="37" t="s">
        <v>22</v>
      </c>
      <c r="F41" s="40" t="s">
        <v>22</v>
      </c>
      <c r="G41" s="37" t="s">
        <v>22</v>
      </c>
      <c r="H41" s="41" t="s">
        <v>22</v>
      </c>
      <c r="I41" s="38" t="s">
        <v>22</v>
      </c>
      <c r="J41" s="128" t="s">
        <v>100</v>
      </c>
      <c r="K41" s="71">
        <v>1</v>
      </c>
      <c r="L41" s="72">
        <v>1</v>
      </c>
      <c r="M41" s="71">
        <v>1</v>
      </c>
      <c r="N41" s="72">
        <v>1</v>
      </c>
      <c r="O41" s="71">
        <v>1</v>
      </c>
      <c r="P41" s="72">
        <v>1</v>
      </c>
      <c r="Q41" s="71">
        <v>1</v>
      </c>
      <c r="R41" s="72">
        <v>1</v>
      </c>
      <c r="S41" s="287">
        <v>1</v>
      </c>
      <c r="T41" s="291" t="s">
        <v>22</v>
      </c>
      <c r="U41" s="126">
        <v>1</v>
      </c>
      <c r="V41" s="127">
        <v>1</v>
      </c>
      <c r="W41" s="126">
        <v>1</v>
      </c>
      <c r="X41" s="127">
        <v>1</v>
      </c>
      <c r="Y41" s="126">
        <v>1</v>
      </c>
      <c r="Z41" s="127">
        <v>1</v>
      </c>
      <c r="AA41" s="126">
        <v>1</v>
      </c>
      <c r="AB41" s="127">
        <v>1</v>
      </c>
      <c r="AC41" s="275">
        <v>1</v>
      </c>
      <c r="AD41" s="292" t="s">
        <v>22</v>
      </c>
      <c r="AE41" s="293" t="s">
        <v>22</v>
      </c>
    </row>
    <row r="42" spans="1:31" ht="39.950000000000003" customHeight="1" x14ac:dyDescent="0.25">
      <c r="A42" s="30">
        <f t="shared" si="0"/>
        <v>29</v>
      </c>
      <c r="B42" s="39">
        <v>44228</v>
      </c>
      <c r="C42" s="37" t="s">
        <v>22</v>
      </c>
      <c r="D42" s="128" t="s">
        <v>104</v>
      </c>
      <c r="E42" s="37" t="s">
        <v>22</v>
      </c>
      <c r="F42" s="40" t="s">
        <v>22</v>
      </c>
      <c r="G42" s="37" t="s">
        <v>22</v>
      </c>
      <c r="H42" s="41" t="s">
        <v>22</v>
      </c>
      <c r="I42" s="38" t="s">
        <v>22</v>
      </c>
      <c r="J42" s="128" t="s">
        <v>104</v>
      </c>
      <c r="K42" s="71">
        <v>1</v>
      </c>
      <c r="L42" s="72">
        <v>1</v>
      </c>
      <c r="M42" s="71">
        <v>1</v>
      </c>
      <c r="N42" s="72">
        <v>1</v>
      </c>
      <c r="O42" s="71">
        <v>1</v>
      </c>
      <c r="P42" s="72">
        <v>1</v>
      </c>
      <c r="Q42" s="71">
        <v>1</v>
      </c>
      <c r="R42" s="72">
        <v>1</v>
      </c>
      <c r="S42" s="287">
        <v>1</v>
      </c>
      <c r="T42" s="291" t="s">
        <v>22</v>
      </c>
      <c r="U42" s="126">
        <v>1</v>
      </c>
      <c r="V42" s="127">
        <v>1</v>
      </c>
      <c r="W42" s="126">
        <v>1</v>
      </c>
      <c r="X42" s="127">
        <v>1</v>
      </c>
      <c r="Y42" s="126">
        <v>1</v>
      </c>
      <c r="Z42" s="127">
        <v>1</v>
      </c>
      <c r="AA42" s="126">
        <v>1</v>
      </c>
      <c r="AB42" s="127">
        <v>1</v>
      </c>
      <c r="AC42" s="275">
        <v>1</v>
      </c>
      <c r="AD42" s="292" t="s">
        <v>22</v>
      </c>
      <c r="AE42" s="293" t="s">
        <v>273</v>
      </c>
    </row>
    <row r="43" spans="1:31" ht="39.950000000000003" customHeight="1" x14ac:dyDescent="0.25">
      <c r="A43" s="30">
        <f t="shared" si="0"/>
        <v>30</v>
      </c>
      <c r="B43" s="39">
        <v>44256</v>
      </c>
      <c r="C43" s="37" t="s">
        <v>22</v>
      </c>
      <c r="D43" s="128" t="s">
        <v>100</v>
      </c>
      <c r="E43" s="37" t="s">
        <v>22</v>
      </c>
      <c r="F43" s="40" t="s">
        <v>22</v>
      </c>
      <c r="G43" s="37" t="s">
        <v>22</v>
      </c>
      <c r="H43" s="41" t="s">
        <v>22</v>
      </c>
      <c r="I43" s="38" t="s">
        <v>22</v>
      </c>
      <c r="J43" s="128" t="s">
        <v>100</v>
      </c>
      <c r="K43" s="71">
        <v>1</v>
      </c>
      <c r="L43" s="72">
        <v>1</v>
      </c>
      <c r="M43" s="71">
        <v>1</v>
      </c>
      <c r="N43" s="72">
        <v>1</v>
      </c>
      <c r="O43" s="71">
        <v>1</v>
      </c>
      <c r="P43" s="72">
        <v>1</v>
      </c>
      <c r="Q43" s="71">
        <v>1</v>
      </c>
      <c r="R43" s="72">
        <v>1</v>
      </c>
      <c r="S43" s="287">
        <v>1</v>
      </c>
      <c r="T43" s="291" t="s">
        <v>22</v>
      </c>
      <c r="U43" s="126">
        <v>1</v>
      </c>
      <c r="V43" s="127">
        <v>1</v>
      </c>
      <c r="W43" s="126">
        <v>1</v>
      </c>
      <c r="X43" s="127">
        <v>1</v>
      </c>
      <c r="Y43" s="126">
        <v>1</v>
      </c>
      <c r="Z43" s="127">
        <v>1</v>
      </c>
      <c r="AA43" s="126">
        <v>1</v>
      </c>
      <c r="AB43" s="127">
        <v>1</v>
      </c>
      <c r="AC43" s="275">
        <v>1</v>
      </c>
      <c r="AD43" s="292" t="s">
        <v>22</v>
      </c>
      <c r="AE43" s="293" t="s">
        <v>273</v>
      </c>
    </row>
    <row r="44" spans="1:31" ht="39.950000000000003" customHeight="1" x14ac:dyDescent="0.25">
      <c r="A44" s="30">
        <f t="shared" si="0"/>
        <v>31</v>
      </c>
      <c r="B44" s="39">
        <v>44287</v>
      </c>
      <c r="C44" s="37" t="s">
        <v>22</v>
      </c>
      <c r="D44" s="128" t="s">
        <v>100</v>
      </c>
      <c r="E44" s="37" t="s">
        <v>22</v>
      </c>
      <c r="F44" s="40" t="s">
        <v>22</v>
      </c>
      <c r="G44" s="37" t="s">
        <v>22</v>
      </c>
      <c r="H44" s="41" t="s">
        <v>22</v>
      </c>
      <c r="I44" s="38" t="s">
        <v>22</v>
      </c>
      <c r="J44" s="128" t="s">
        <v>100</v>
      </c>
      <c r="K44" s="71">
        <v>1</v>
      </c>
      <c r="L44" s="72">
        <v>1</v>
      </c>
      <c r="M44" s="71">
        <v>1</v>
      </c>
      <c r="N44" s="72">
        <v>1</v>
      </c>
      <c r="O44" s="71">
        <v>1</v>
      </c>
      <c r="P44" s="72">
        <v>1</v>
      </c>
      <c r="Q44" s="71">
        <v>1</v>
      </c>
      <c r="R44" s="72">
        <v>1</v>
      </c>
      <c r="S44" s="287">
        <v>1</v>
      </c>
      <c r="T44" s="291" t="s">
        <v>22</v>
      </c>
      <c r="U44" s="126">
        <v>1</v>
      </c>
      <c r="V44" s="127">
        <v>1</v>
      </c>
      <c r="W44" s="126">
        <v>1</v>
      </c>
      <c r="X44" s="127">
        <v>1</v>
      </c>
      <c r="Y44" s="126">
        <v>1</v>
      </c>
      <c r="Z44" s="127">
        <v>1</v>
      </c>
      <c r="AA44" s="126">
        <v>1</v>
      </c>
      <c r="AB44" s="127">
        <v>1</v>
      </c>
      <c r="AC44" s="275">
        <v>1</v>
      </c>
      <c r="AD44" s="292" t="s">
        <v>22</v>
      </c>
      <c r="AE44" s="293" t="s">
        <v>273</v>
      </c>
    </row>
    <row r="45" spans="1:31" ht="39.950000000000003" customHeight="1" x14ac:dyDescent="0.25">
      <c r="A45" s="30">
        <f t="shared" si="0"/>
        <v>32</v>
      </c>
      <c r="B45" s="39">
        <v>44317</v>
      </c>
      <c r="C45" s="37" t="s">
        <v>22</v>
      </c>
      <c r="D45" s="128" t="s">
        <v>104</v>
      </c>
      <c r="E45" s="37" t="s">
        <v>22</v>
      </c>
      <c r="F45" s="40" t="s">
        <v>22</v>
      </c>
      <c r="G45" s="37" t="s">
        <v>22</v>
      </c>
      <c r="H45" s="41" t="s">
        <v>22</v>
      </c>
      <c r="I45" s="38" t="s">
        <v>22</v>
      </c>
      <c r="J45" s="128" t="s">
        <v>104</v>
      </c>
      <c r="K45" s="71">
        <v>1</v>
      </c>
      <c r="L45" s="72">
        <v>1</v>
      </c>
      <c r="M45" s="71">
        <v>1</v>
      </c>
      <c r="N45" s="72">
        <v>1</v>
      </c>
      <c r="O45" s="71">
        <v>1</v>
      </c>
      <c r="P45" s="72">
        <v>1</v>
      </c>
      <c r="Q45" s="71">
        <v>1</v>
      </c>
      <c r="R45" s="72">
        <v>1</v>
      </c>
      <c r="S45" s="287">
        <v>1</v>
      </c>
      <c r="T45" s="291" t="s">
        <v>22</v>
      </c>
      <c r="U45" s="126">
        <v>1</v>
      </c>
      <c r="V45" s="127">
        <v>1</v>
      </c>
      <c r="W45" s="126">
        <v>1</v>
      </c>
      <c r="X45" s="127">
        <v>1</v>
      </c>
      <c r="Y45" s="126">
        <v>1</v>
      </c>
      <c r="Z45" s="127">
        <v>1</v>
      </c>
      <c r="AA45" s="126">
        <v>1</v>
      </c>
      <c r="AB45" s="127">
        <v>1</v>
      </c>
      <c r="AC45" s="275">
        <v>1</v>
      </c>
      <c r="AD45" s="292" t="s">
        <v>22</v>
      </c>
      <c r="AE45" s="293" t="s">
        <v>273</v>
      </c>
    </row>
    <row r="46" spans="1:31" ht="39.950000000000003" customHeight="1" x14ac:dyDescent="0.25">
      <c r="A46" s="30">
        <f t="shared" si="0"/>
        <v>33</v>
      </c>
      <c r="B46" s="39">
        <v>44348</v>
      </c>
      <c r="C46" s="37" t="s">
        <v>22</v>
      </c>
      <c r="D46" s="128" t="s">
        <v>100</v>
      </c>
      <c r="E46" s="37" t="s">
        <v>22</v>
      </c>
      <c r="F46" s="40" t="s">
        <v>22</v>
      </c>
      <c r="G46" s="37" t="s">
        <v>22</v>
      </c>
      <c r="H46" s="41" t="s">
        <v>22</v>
      </c>
      <c r="I46" s="38" t="s">
        <v>22</v>
      </c>
      <c r="J46" s="128" t="s">
        <v>100</v>
      </c>
      <c r="K46" s="71">
        <v>1</v>
      </c>
      <c r="L46" s="72">
        <v>1</v>
      </c>
      <c r="M46" s="71">
        <v>1</v>
      </c>
      <c r="N46" s="72">
        <v>1</v>
      </c>
      <c r="O46" s="71">
        <v>1</v>
      </c>
      <c r="P46" s="72">
        <v>1</v>
      </c>
      <c r="Q46" s="71">
        <v>1</v>
      </c>
      <c r="R46" s="72">
        <v>1</v>
      </c>
      <c r="S46" s="287">
        <v>1</v>
      </c>
      <c r="T46" s="291" t="s">
        <v>22</v>
      </c>
      <c r="U46" s="126">
        <v>1</v>
      </c>
      <c r="V46" s="127">
        <v>1</v>
      </c>
      <c r="W46" s="126">
        <v>1</v>
      </c>
      <c r="X46" s="127">
        <v>1</v>
      </c>
      <c r="Y46" s="126">
        <v>1</v>
      </c>
      <c r="Z46" s="127">
        <v>1</v>
      </c>
      <c r="AA46" s="126">
        <v>1</v>
      </c>
      <c r="AB46" s="127">
        <v>1</v>
      </c>
      <c r="AC46" s="275">
        <v>1</v>
      </c>
      <c r="AD46" s="292" t="s">
        <v>22</v>
      </c>
      <c r="AE46" s="293" t="s">
        <v>273</v>
      </c>
    </row>
    <row r="47" spans="1:31" ht="39.950000000000003" customHeight="1" x14ac:dyDescent="0.25">
      <c r="A47" s="30">
        <f t="shared" si="0"/>
        <v>34</v>
      </c>
      <c r="B47" s="39">
        <v>44378</v>
      </c>
      <c r="C47" s="37" t="s">
        <v>22</v>
      </c>
      <c r="D47" s="128" t="s">
        <v>104</v>
      </c>
      <c r="E47" s="37" t="s">
        <v>22</v>
      </c>
      <c r="F47" s="40" t="s">
        <v>22</v>
      </c>
      <c r="G47" s="37" t="s">
        <v>22</v>
      </c>
      <c r="H47" s="41" t="s">
        <v>22</v>
      </c>
      <c r="I47" s="38" t="s">
        <v>22</v>
      </c>
      <c r="J47" s="128" t="s">
        <v>104</v>
      </c>
      <c r="K47" s="71">
        <v>1</v>
      </c>
      <c r="L47" s="72">
        <v>1</v>
      </c>
      <c r="M47" s="71">
        <v>1</v>
      </c>
      <c r="N47" s="72">
        <v>1</v>
      </c>
      <c r="O47" s="71">
        <v>1</v>
      </c>
      <c r="P47" s="72">
        <v>1</v>
      </c>
      <c r="Q47" s="71">
        <v>1</v>
      </c>
      <c r="R47" s="72">
        <v>1</v>
      </c>
      <c r="S47" s="287">
        <v>1</v>
      </c>
      <c r="T47" s="291" t="s">
        <v>22</v>
      </c>
      <c r="U47" s="126">
        <v>1</v>
      </c>
      <c r="V47" s="127">
        <v>1</v>
      </c>
      <c r="W47" s="126">
        <v>1</v>
      </c>
      <c r="X47" s="127">
        <v>1</v>
      </c>
      <c r="Y47" s="126">
        <v>1</v>
      </c>
      <c r="Z47" s="127">
        <v>1</v>
      </c>
      <c r="AA47" s="126">
        <v>1</v>
      </c>
      <c r="AB47" s="127">
        <v>1</v>
      </c>
      <c r="AC47" s="275">
        <v>1</v>
      </c>
      <c r="AD47" s="292" t="s">
        <v>22</v>
      </c>
      <c r="AE47" s="293" t="s">
        <v>22</v>
      </c>
    </row>
    <row r="48" spans="1:31" ht="39.950000000000003" customHeight="1" x14ac:dyDescent="0.25">
      <c r="A48" s="30">
        <f t="shared" si="0"/>
        <v>35</v>
      </c>
      <c r="B48" s="39">
        <v>44409</v>
      </c>
      <c r="C48" s="37" t="s">
        <v>22</v>
      </c>
      <c r="D48" s="128" t="s">
        <v>100</v>
      </c>
      <c r="E48" s="37" t="s">
        <v>22</v>
      </c>
      <c r="F48" s="40" t="s">
        <v>22</v>
      </c>
      <c r="G48" s="37" t="s">
        <v>22</v>
      </c>
      <c r="H48" s="41" t="s">
        <v>22</v>
      </c>
      <c r="I48" s="38" t="s">
        <v>22</v>
      </c>
      <c r="J48" s="128" t="s">
        <v>100</v>
      </c>
      <c r="K48" s="71">
        <v>1</v>
      </c>
      <c r="L48" s="72">
        <v>1</v>
      </c>
      <c r="M48" s="71">
        <v>1</v>
      </c>
      <c r="N48" s="72">
        <v>1</v>
      </c>
      <c r="O48" s="71">
        <v>1</v>
      </c>
      <c r="P48" s="72">
        <v>1</v>
      </c>
      <c r="Q48" s="71">
        <v>1</v>
      </c>
      <c r="R48" s="72">
        <v>1</v>
      </c>
      <c r="S48" s="287">
        <v>1</v>
      </c>
      <c r="T48" s="291" t="s">
        <v>22</v>
      </c>
      <c r="U48" s="126">
        <v>1</v>
      </c>
      <c r="V48" s="127">
        <v>1</v>
      </c>
      <c r="W48" s="126">
        <v>1</v>
      </c>
      <c r="X48" s="127">
        <v>1</v>
      </c>
      <c r="Y48" s="126">
        <v>1</v>
      </c>
      <c r="Z48" s="127">
        <v>1</v>
      </c>
      <c r="AA48" s="126">
        <v>1</v>
      </c>
      <c r="AB48" s="127">
        <v>1</v>
      </c>
      <c r="AC48" s="275">
        <v>1</v>
      </c>
      <c r="AD48" s="292" t="s">
        <v>22</v>
      </c>
      <c r="AE48" s="293" t="s">
        <v>22</v>
      </c>
    </row>
    <row r="49" spans="1:31" ht="39.950000000000003" customHeight="1" x14ac:dyDescent="0.25">
      <c r="A49" s="30">
        <f t="shared" si="0"/>
        <v>36</v>
      </c>
      <c r="B49" s="39">
        <v>44440</v>
      </c>
      <c r="C49" s="37" t="s">
        <v>22</v>
      </c>
      <c r="D49" s="128" t="s">
        <v>104</v>
      </c>
      <c r="E49" s="37" t="s">
        <v>22</v>
      </c>
      <c r="F49" s="40" t="s">
        <v>22</v>
      </c>
      <c r="G49" s="37" t="s">
        <v>22</v>
      </c>
      <c r="H49" s="41" t="s">
        <v>22</v>
      </c>
      <c r="I49" s="38" t="s">
        <v>22</v>
      </c>
      <c r="J49" s="128" t="s">
        <v>104</v>
      </c>
      <c r="K49" s="71">
        <v>1</v>
      </c>
      <c r="L49" s="72">
        <v>1</v>
      </c>
      <c r="M49" s="71">
        <v>1</v>
      </c>
      <c r="N49" s="72">
        <v>1</v>
      </c>
      <c r="O49" s="71">
        <v>1</v>
      </c>
      <c r="P49" s="72">
        <v>1</v>
      </c>
      <c r="Q49" s="71">
        <v>1</v>
      </c>
      <c r="R49" s="72">
        <v>1</v>
      </c>
      <c r="S49" s="287">
        <v>1</v>
      </c>
      <c r="T49" s="291" t="s">
        <v>22</v>
      </c>
      <c r="U49" s="126">
        <v>1</v>
      </c>
      <c r="V49" s="127">
        <v>1</v>
      </c>
      <c r="W49" s="126">
        <v>1</v>
      </c>
      <c r="X49" s="127">
        <v>1</v>
      </c>
      <c r="Y49" s="126">
        <v>1</v>
      </c>
      <c r="Z49" s="127">
        <v>1</v>
      </c>
      <c r="AA49" s="126">
        <v>1</v>
      </c>
      <c r="AB49" s="127">
        <v>1</v>
      </c>
      <c r="AC49" s="275">
        <v>1</v>
      </c>
      <c r="AD49" s="292" t="s">
        <v>22</v>
      </c>
      <c r="AE49" s="293" t="s">
        <v>273</v>
      </c>
    </row>
    <row r="50" spans="1:31" ht="39.950000000000003" customHeight="1" x14ac:dyDescent="0.25">
      <c r="A50" s="30">
        <f t="shared" si="0"/>
        <v>37</v>
      </c>
      <c r="B50" s="39">
        <v>44105</v>
      </c>
      <c r="C50" s="37" t="s">
        <v>22</v>
      </c>
      <c r="D50" s="128" t="s">
        <v>100</v>
      </c>
      <c r="E50" s="37" t="s">
        <v>22</v>
      </c>
      <c r="F50" s="40" t="s">
        <v>22</v>
      </c>
      <c r="G50" s="37" t="s">
        <v>22</v>
      </c>
      <c r="H50" s="41" t="s">
        <v>22</v>
      </c>
      <c r="I50" s="38" t="s">
        <v>22</v>
      </c>
      <c r="J50" s="128" t="s">
        <v>100</v>
      </c>
      <c r="K50" s="71">
        <v>1</v>
      </c>
      <c r="L50" s="72">
        <v>1</v>
      </c>
      <c r="M50" s="71">
        <v>1</v>
      </c>
      <c r="N50" s="72">
        <v>1</v>
      </c>
      <c r="O50" s="71">
        <v>1</v>
      </c>
      <c r="P50" s="72">
        <v>1</v>
      </c>
      <c r="Q50" s="71">
        <v>1</v>
      </c>
      <c r="R50" s="72">
        <v>1</v>
      </c>
      <c r="S50" s="287">
        <v>1</v>
      </c>
      <c r="T50" s="291" t="s">
        <v>22</v>
      </c>
      <c r="U50" s="126">
        <v>1</v>
      </c>
      <c r="V50" s="127">
        <v>1</v>
      </c>
      <c r="W50" s="126">
        <v>1</v>
      </c>
      <c r="X50" s="127">
        <v>1</v>
      </c>
      <c r="Y50" s="126">
        <v>1</v>
      </c>
      <c r="Z50" s="127">
        <v>1</v>
      </c>
      <c r="AA50" s="126">
        <v>1</v>
      </c>
      <c r="AB50" s="127">
        <v>1</v>
      </c>
      <c r="AC50" s="275">
        <v>1</v>
      </c>
      <c r="AD50" s="292" t="s">
        <v>22</v>
      </c>
      <c r="AE50" s="293" t="s">
        <v>273</v>
      </c>
    </row>
    <row r="51" spans="1:31" ht="39.950000000000003" customHeight="1" x14ac:dyDescent="0.25">
      <c r="A51" s="30">
        <f t="shared" si="0"/>
        <v>38</v>
      </c>
      <c r="B51" s="39">
        <v>44136</v>
      </c>
      <c r="C51" s="37" t="s">
        <v>22</v>
      </c>
      <c r="D51" s="128" t="s">
        <v>100</v>
      </c>
      <c r="E51" s="37" t="s">
        <v>22</v>
      </c>
      <c r="F51" s="40" t="s">
        <v>22</v>
      </c>
      <c r="G51" s="37" t="s">
        <v>22</v>
      </c>
      <c r="H51" s="41" t="s">
        <v>22</v>
      </c>
      <c r="I51" s="38" t="s">
        <v>22</v>
      </c>
      <c r="J51" s="128" t="s">
        <v>100</v>
      </c>
      <c r="K51" s="71">
        <v>1</v>
      </c>
      <c r="L51" s="72">
        <v>1</v>
      </c>
      <c r="M51" s="71">
        <v>1</v>
      </c>
      <c r="N51" s="72">
        <v>1</v>
      </c>
      <c r="O51" s="71">
        <v>1</v>
      </c>
      <c r="P51" s="72">
        <v>1</v>
      </c>
      <c r="Q51" s="71">
        <v>1</v>
      </c>
      <c r="R51" s="72">
        <v>1</v>
      </c>
      <c r="S51" s="287">
        <v>1</v>
      </c>
      <c r="T51" s="291" t="s">
        <v>22</v>
      </c>
      <c r="U51" s="126">
        <v>1</v>
      </c>
      <c r="V51" s="127">
        <v>1</v>
      </c>
      <c r="W51" s="126">
        <v>1</v>
      </c>
      <c r="X51" s="127">
        <v>1</v>
      </c>
      <c r="Y51" s="126">
        <v>1</v>
      </c>
      <c r="Z51" s="127">
        <v>1</v>
      </c>
      <c r="AA51" s="126">
        <v>1</v>
      </c>
      <c r="AB51" s="127">
        <v>1</v>
      </c>
      <c r="AC51" s="275">
        <v>1</v>
      </c>
      <c r="AD51" s="292" t="s">
        <v>22</v>
      </c>
      <c r="AE51" s="293" t="s">
        <v>273</v>
      </c>
    </row>
    <row r="52" spans="1:31" ht="39.950000000000003" customHeight="1" x14ac:dyDescent="0.25">
      <c r="A52" s="30">
        <f t="shared" si="0"/>
        <v>39</v>
      </c>
      <c r="B52" s="39">
        <v>44166</v>
      </c>
      <c r="C52" s="37" t="s">
        <v>22</v>
      </c>
      <c r="D52" s="128" t="s">
        <v>104</v>
      </c>
      <c r="E52" s="37" t="s">
        <v>22</v>
      </c>
      <c r="F52" s="40" t="s">
        <v>22</v>
      </c>
      <c r="G52" s="37" t="s">
        <v>22</v>
      </c>
      <c r="H52" s="41" t="s">
        <v>22</v>
      </c>
      <c r="I52" s="38" t="s">
        <v>22</v>
      </c>
      <c r="J52" s="128" t="s">
        <v>104</v>
      </c>
      <c r="K52" s="71">
        <v>1</v>
      </c>
      <c r="L52" s="72">
        <v>1</v>
      </c>
      <c r="M52" s="71">
        <v>1</v>
      </c>
      <c r="N52" s="72">
        <v>1</v>
      </c>
      <c r="O52" s="71">
        <v>1</v>
      </c>
      <c r="P52" s="72">
        <v>1</v>
      </c>
      <c r="Q52" s="71">
        <v>1</v>
      </c>
      <c r="R52" s="72">
        <v>1</v>
      </c>
      <c r="S52" s="287">
        <v>1</v>
      </c>
      <c r="T52" s="291" t="s">
        <v>22</v>
      </c>
      <c r="U52" s="126">
        <v>1</v>
      </c>
      <c r="V52" s="127">
        <v>1</v>
      </c>
      <c r="W52" s="126">
        <v>1</v>
      </c>
      <c r="X52" s="127">
        <v>1</v>
      </c>
      <c r="Y52" s="126">
        <v>1</v>
      </c>
      <c r="Z52" s="127">
        <v>1</v>
      </c>
      <c r="AA52" s="126">
        <v>1</v>
      </c>
      <c r="AB52" s="127">
        <v>1</v>
      </c>
      <c r="AC52" s="275">
        <v>1</v>
      </c>
      <c r="AD52" s="292" t="s">
        <v>22</v>
      </c>
      <c r="AE52" s="293" t="s">
        <v>273</v>
      </c>
    </row>
    <row r="53" spans="1:31" ht="39.950000000000003" customHeight="1" x14ac:dyDescent="0.25">
      <c r="A53" s="30">
        <f t="shared" si="0"/>
        <v>40</v>
      </c>
      <c r="B53" s="39">
        <v>44197</v>
      </c>
      <c r="C53" s="37" t="s">
        <v>22</v>
      </c>
      <c r="D53" s="128" t="s">
        <v>100</v>
      </c>
      <c r="E53" s="37" t="s">
        <v>22</v>
      </c>
      <c r="F53" s="40" t="s">
        <v>22</v>
      </c>
      <c r="G53" s="37" t="s">
        <v>22</v>
      </c>
      <c r="H53" s="41" t="s">
        <v>22</v>
      </c>
      <c r="I53" s="38" t="s">
        <v>22</v>
      </c>
      <c r="J53" s="128" t="s">
        <v>100</v>
      </c>
      <c r="K53" s="71">
        <v>1</v>
      </c>
      <c r="L53" s="72">
        <v>1</v>
      </c>
      <c r="M53" s="71">
        <v>1</v>
      </c>
      <c r="N53" s="72">
        <v>1</v>
      </c>
      <c r="O53" s="71">
        <v>1</v>
      </c>
      <c r="P53" s="72">
        <v>1</v>
      </c>
      <c r="Q53" s="71">
        <v>1</v>
      </c>
      <c r="R53" s="72">
        <v>1</v>
      </c>
      <c r="S53" s="287">
        <v>1</v>
      </c>
      <c r="T53" s="291" t="s">
        <v>22</v>
      </c>
      <c r="U53" s="126">
        <v>1</v>
      </c>
      <c r="V53" s="127">
        <v>1</v>
      </c>
      <c r="W53" s="126">
        <v>1</v>
      </c>
      <c r="X53" s="127">
        <v>1</v>
      </c>
      <c r="Y53" s="126">
        <v>1</v>
      </c>
      <c r="Z53" s="127">
        <v>1</v>
      </c>
      <c r="AA53" s="126">
        <v>1</v>
      </c>
      <c r="AB53" s="127">
        <v>1</v>
      </c>
      <c r="AC53" s="275">
        <v>1</v>
      </c>
      <c r="AD53" s="292" t="s">
        <v>22</v>
      </c>
      <c r="AE53" s="293" t="s">
        <v>22</v>
      </c>
    </row>
    <row r="54" spans="1:31" ht="39.950000000000003" customHeight="1" x14ac:dyDescent="0.25">
      <c r="A54" s="30">
        <f t="shared" si="0"/>
        <v>41</v>
      </c>
      <c r="B54" s="39">
        <v>44228</v>
      </c>
      <c r="C54" s="37" t="s">
        <v>22</v>
      </c>
      <c r="D54" s="128" t="s">
        <v>100</v>
      </c>
      <c r="E54" s="37" t="s">
        <v>22</v>
      </c>
      <c r="F54" s="40" t="s">
        <v>22</v>
      </c>
      <c r="G54" s="37" t="s">
        <v>22</v>
      </c>
      <c r="H54" s="41" t="s">
        <v>22</v>
      </c>
      <c r="I54" s="38" t="s">
        <v>22</v>
      </c>
      <c r="J54" s="128" t="s">
        <v>100</v>
      </c>
      <c r="K54" s="71">
        <v>1</v>
      </c>
      <c r="L54" s="72">
        <v>1</v>
      </c>
      <c r="M54" s="71">
        <v>1</v>
      </c>
      <c r="N54" s="72">
        <v>1</v>
      </c>
      <c r="O54" s="71">
        <v>1</v>
      </c>
      <c r="P54" s="72">
        <v>1</v>
      </c>
      <c r="Q54" s="71">
        <v>1</v>
      </c>
      <c r="R54" s="72">
        <v>1</v>
      </c>
      <c r="S54" s="287">
        <v>1</v>
      </c>
      <c r="T54" s="291" t="s">
        <v>22</v>
      </c>
      <c r="U54" s="126">
        <v>1</v>
      </c>
      <c r="V54" s="127">
        <v>1</v>
      </c>
      <c r="W54" s="126">
        <v>1</v>
      </c>
      <c r="X54" s="127">
        <v>1</v>
      </c>
      <c r="Y54" s="126">
        <v>1</v>
      </c>
      <c r="Z54" s="127">
        <v>1</v>
      </c>
      <c r="AA54" s="126">
        <v>1</v>
      </c>
      <c r="AB54" s="127">
        <v>1</v>
      </c>
      <c r="AC54" s="275">
        <v>1</v>
      </c>
      <c r="AD54" s="292" t="s">
        <v>22</v>
      </c>
      <c r="AE54" s="293" t="s">
        <v>273</v>
      </c>
    </row>
    <row r="55" spans="1:31" ht="39.950000000000003" customHeight="1" x14ac:dyDescent="0.25">
      <c r="A55" s="30">
        <f t="shared" si="0"/>
        <v>42</v>
      </c>
      <c r="B55" s="39">
        <v>44256</v>
      </c>
      <c r="C55" s="37" t="s">
        <v>22</v>
      </c>
      <c r="D55" s="128" t="s">
        <v>104</v>
      </c>
      <c r="E55" s="37" t="s">
        <v>22</v>
      </c>
      <c r="F55" s="40" t="s">
        <v>22</v>
      </c>
      <c r="G55" s="37" t="s">
        <v>22</v>
      </c>
      <c r="H55" s="41" t="s">
        <v>22</v>
      </c>
      <c r="I55" s="38" t="s">
        <v>22</v>
      </c>
      <c r="J55" s="128" t="s">
        <v>104</v>
      </c>
      <c r="K55" s="71">
        <v>1</v>
      </c>
      <c r="L55" s="72">
        <v>1</v>
      </c>
      <c r="M55" s="71">
        <v>1</v>
      </c>
      <c r="N55" s="72">
        <v>1</v>
      </c>
      <c r="O55" s="71">
        <v>1</v>
      </c>
      <c r="P55" s="72">
        <v>1</v>
      </c>
      <c r="Q55" s="71">
        <v>1</v>
      </c>
      <c r="R55" s="72">
        <v>1</v>
      </c>
      <c r="S55" s="287">
        <v>1</v>
      </c>
      <c r="T55" s="291" t="s">
        <v>22</v>
      </c>
      <c r="U55" s="126">
        <v>1</v>
      </c>
      <c r="V55" s="127">
        <v>1</v>
      </c>
      <c r="W55" s="126">
        <v>1</v>
      </c>
      <c r="X55" s="127">
        <v>1</v>
      </c>
      <c r="Y55" s="126">
        <v>1</v>
      </c>
      <c r="Z55" s="127">
        <v>1</v>
      </c>
      <c r="AA55" s="126">
        <v>1</v>
      </c>
      <c r="AB55" s="127">
        <v>1</v>
      </c>
      <c r="AC55" s="275">
        <v>1</v>
      </c>
      <c r="AD55" s="292" t="s">
        <v>22</v>
      </c>
      <c r="AE55" s="293" t="s">
        <v>273</v>
      </c>
    </row>
    <row r="56" spans="1:31" ht="39.950000000000003" customHeight="1" x14ac:dyDescent="0.25">
      <c r="A56" s="30">
        <f t="shared" si="0"/>
        <v>43</v>
      </c>
      <c r="B56" s="39">
        <v>44287</v>
      </c>
      <c r="C56" s="37" t="s">
        <v>22</v>
      </c>
      <c r="D56" s="128" t="s">
        <v>100</v>
      </c>
      <c r="E56" s="37" t="s">
        <v>22</v>
      </c>
      <c r="F56" s="40" t="s">
        <v>22</v>
      </c>
      <c r="G56" s="37" t="s">
        <v>22</v>
      </c>
      <c r="H56" s="41" t="s">
        <v>22</v>
      </c>
      <c r="I56" s="38" t="s">
        <v>22</v>
      </c>
      <c r="J56" s="128" t="s">
        <v>100</v>
      </c>
      <c r="K56" s="71">
        <v>1</v>
      </c>
      <c r="L56" s="72">
        <v>1</v>
      </c>
      <c r="M56" s="71">
        <v>1</v>
      </c>
      <c r="N56" s="72">
        <v>1</v>
      </c>
      <c r="O56" s="71">
        <v>1</v>
      </c>
      <c r="P56" s="72">
        <v>1</v>
      </c>
      <c r="Q56" s="71">
        <v>1</v>
      </c>
      <c r="R56" s="72">
        <v>1</v>
      </c>
      <c r="S56" s="287">
        <v>1</v>
      </c>
      <c r="T56" s="291" t="s">
        <v>22</v>
      </c>
      <c r="U56" s="126">
        <v>1</v>
      </c>
      <c r="V56" s="127">
        <v>1</v>
      </c>
      <c r="W56" s="126">
        <v>1</v>
      </c>
      <c r="X56" s="127">
        <v>1</v>
      </c>
      <c r="Y56" s="126">
        <v>1</v>
      </c>
      <c r="Z56" s="127">
        <v>1</v>
      </c>
      <c r="AA56" s="126">
        <v>1</v>
      </c>
      <c r="AB56" s="127">
        <v>1</v>
      </c>
      <c r="AC56" s="275">
        <v>1</v>
      </c>
      <c r="AD56" s="292" t="s">
        <v>22</v>
      </c>
      <c r="AE56" s="293" t="s">
        <v>273</v>
      </c>
    </row>
    <row r="57" spans="1:31" ht="39.950000000000003" customHeight="1" x14ac:dyDescent="0.25">
      <c r="A57" s="30">
        <f t="shared" si="0"/>
        <v>44</v>
      </c>
      <c r="B57" s="39">
        <v>44317</v>
      </c>
      <c r="C57" s="37" t="s">
        <v>22</v>
      </c>
      <c r="D57" s="128" t="s">
        <v>104</v>
      </c>
      <c r="E57" s="37" t="s">
        <v>22</v>
      </c>
      <c r="F57" s="40" t="s">
        <v>22</v>
      </c>
      <c r="G57" s="37" t="s">
        <v>22</v>
      </c>
      <c r="H57" s="41" t="s">
        <v>22</v>
      </c>
      <c r="I57" s="38" t="s">
        <v>22</v>
      </c>
      <c r="J57" s="128" t="s">
        <v>104</v>
      </c>
      <c r="K57" s="71">
        <v>1</v>
      </c>
      <c r="L57" s="72">
        <v>1</v>
      </c>
      <c r="M57" s="71">
        <v>1</v>
      </c>
      <c r="N57" s="72">
        <v>1</v>
      </c>
      <c r="O57" s="71">
        <v>1</v>
      </c>
      <c r="P57" s="72">
        <v>1</v>
      </c>
      <c r="Q57" s="71">
        <v>1</v>
      </c>
      <c r="R57" s="72">
        <v>1</v>
      </c>
      <c r="S57" s="287">
        <v>1</v>
      </c>
      <c r="T57" s="291" t="s">
        <v>22</v>
      </c>
      <c r="U57" s="126">
        <v>1</v>
      </c>
      <c r="V57" s="127">
        <v>1</v>
      </c>
      <c r="W57" s="126">
        <v>1</v>
      </c>
      <c r="X57" s="127">
        <v>1</v>
      </c>
      <c r="Y57" s="126">
        <v>1</v>
      </c>
      <c r="Z57" s="127">
        <v>1</v>
      </c>
      <c r="AA57" s="126">
        <v>1</v>
      </c>
      <c r="AB57" s="127">
        <v>1</v>
      </c>
      <c r="AC57" s="275">
        <v>1</v>
      </c>
      <c r="AD57" s="292" t="s">
        <v>22</v>
      </c>
      <c r="AE57" s="293" t="s">
        <v>273</v>
      </c>
    </row>
    <row r="58" spans="1:31" ht="39.950000000000003" customHeight="1" x14ac:dyDescent="0.25">
      <c r="A58" s="30">
        <f t="shared" si="0"/>
        <v>45</v>
      </c>
      <c r="B58" s="39">
        <v>44348</v>
      </c>
      <c r="C58" s="37" t="s">
        <v>22</v>
      </c>
      <c r="D58" s="128" t="s">
        <v>100</v>
      </c>
      <c r="E58" s="37" t="s">
        <v>22</v>
      </c>
      <c r="F58" s="40" t="s">
        <v>22</v>
      </c>
      <c r="G58" s="37" t="s">
        <v>22</v>
      </c>
      <c r="H58" s="41" t="s">
        <v>22</v>
      </c>
      <c r="I58" s="38" t="s">
        <v>22</v>
      </c>
      <c r="J58" s="128" t="s">
        <v>100</v>
      </c>
      <c r="K58" s="71">
        <v>1</v>
      </c>
      <c r="L58" s="72">
        <v>1</v>
      </c>
      <c r="M58" s="71">
        <v>1</v>
      </c>
      <c r="N58" s="72">
        <v>1</v>
      </c>
      <c r="O58" s="71">
        <v>1</v>
      </c>
      <c r="P58" s="72">
        <v>1</v>
      </c>
      <c r="Q58" s="71">
        <v>1</v>
      </c>
      <c r="R58" s="72">
        <v>1</v>
      </c>
      <c r="S58" s="287">
        <v>1</v>
      </c>
      <c r="T58" s="291" t="s">
        <v>22</v>
      </c>
      <c r="U58" s="126">
        <v>1</v>
      </c>
      <c r="V58" s="127">
        <v>1</v>
      </c>
      <c r="W58" s="126">
        <v>1</v>
      </c>
      <c r="X58" s="127">
        <v>1</v>
      </c>
      <c r="Y58" s="126">
        <v>1</v>
      </c>
      <c r="Z58" s="127">
        <v>1</v>
      </c>
      <c r="AA58" s="126">
        <v>1</v>
      </c>
      <c r="AB58" s="127">
        <v>1</v>
      </c>
      <c r="AC58" s="275">
        <v>1</v>
      </c>
      <c r="AD58" s="292" t="s">
        <v>22</v>
      </c>
      <c r="AE58" s="293" t="s">
        <v>273</v>
      </c>
    </row>
    <row r="59" spans="1:31" ht="39.950000000000003" customHeight="1" x14ac:dyDescent="0.25">
      <c r="A59" s="30">
        <f t="shared" si="0"/>
        <v>46</v>
      </c>
      <c r="B59" s="39">
        <v>44378</v>
      </c>
      <c r="C59" s="37" t="s">
        <v>22</v>
      </c>
      <c r="D59" s="128" t="s">
        <v>104</v>
      </c>
      <c r="E59" s="37" t="s">
        <v>22</v>
      </c>
      <c r="F59" s="40" t="s">
        <v>22</v>
      </c>
      <c r="G59" s="37" t="s">
        <v>22</v>
      </c>
      <c r="H59" s="41" t="s">
        <v>22</v>
      </c>
      <c r="I59" s="38" t="s">
        <v>22</v>
      </c>
      <c r="J59" s="128" t="s">
        <v>104</v>
      </c>
      <c r="K59" s="71">
        <v>1</v>
      </c>
      <c r="L59" s="72">
        <v>1</v>
      </c>
      <c r="M59" s="71">
        <v>1</v>
      </c>
      <c r="N59" s="72">
        <v>1</v>
      </c>
      <c r="O59" s="71">
        <v>1</v>
      </c>
      <c r="P59" s="72">
        <v>1</v>
      </c>
      <c r="Q59" s="71">
        <v>1</v>
      </c>
      <c r="R59" s="72">
        <v>1</v>
      </c>
      <c r="S59" s="287">
        <v>1</v>
      </c>
      <c r="T59" s="291" t="s">
        <v>22</v>
      </c>
      <c r="U59" s="126">
        <v>1</v>
      </c>
      <c r="V59" s="127">
        <v>1</v>
      </c>
      <c r="W59" s="126">
        <v>1</v>
      </c>
      <c r="X59" s="127">
        <v>1</v>
      </c>
      <c r="Y59" s="126">
        <v>1</v>
      </c>
      <c r="Z59" s="127">
        <v>1</v>
      </c>
      <c r="AA59" s="126">
        <v>1</v>
      </c>
      <c r="AB59" s="127">
        <v>1</v>
      </c>
      <c r="AC59" s="275">
        <v>1</v>
      </c>
      <c r="AD59" s="292" t="s">
        <v>22</v>
      </c>
      <c r="AE59" s="293" t="s">
        <v>22</v>
      </c>
    </row>
    <row r="60" spans="1:31" ht="39.950000000000003" customHeight="1" x14ac:dyDescent="0.25">
      <c r="A60" s="30">
        <f t="shared" si="0"/>
        <v>47</v>
      </c>
      <c r="B60" s="39">
        <v>44409</v>
      </c>
      <c r="C60" s="37" t="s">
        <v>22</v>
      </c>
      <c r="D60" s="128" t="s">
        <v>100</v>
      </c>
      <c r="E60" s="37" t="s">
        <v>22</v>
      </c>
      <c r="F60" s="40" t="s">
        <v>22</v>
      </c>
      <c r="G60" s="37" t="s">
        <v>22</v>
      </c>
      <c r="H60" s="41" t="s">
        <v>22</v>
      </c>
      <c r="I60" s="38" t="s">
        <v>22</v>
      </c>
      <c r="J60" s="128" t="s">
        <v>100</v>
      </c>
      <c r="K60" s="71">
        <v>1</v>
      </c>
      <c r="L60" s="72">
        <v>1</v>
      </c>
      <c r="M60" s="71">
        <v>1</v>
      </c>
      <c r="N60" s="72">
        <v>1</v>
      </c>
      <c r="O60" s="71">
        <v>1</v>
      </c>
      <c r="P60" s="72">
        <v>1</v>
      </c>
      <c r="Q60" s="71">
        <v>1</v>
      </c>
      <c r="R60" s="72">
        <v>1</v>
      </c>
      <c r="S60" s="287">
        <v>1</v>
      </c>
      <c r="T60" s="291" t="s">
        <v>22</v>
      </c>
      <c r="U60" s="126">
        <v>1</v>
      </c>
      <c r="V60" s="127">
        <v>1</v>
      </c>
      <c r="W60" s="126">
        <v>1</v>
      </c>
      <c r="X60" s="127">
        <v>1</v>
      </c>
      <c r="Y60" s="126">
        <v>1</v>
      </c>
      <c r="Z60" s="127">
        <v>1</v>
      </c>
      <c r="AA60" s="126">
        <v>1</v>
      </c>
      <c r="AB60" s="127">
        <v>1</v>
      </c>
      <c r="AC60" s="275">
        <v>1</v>
      </c>
      <c r="AD60" s="292" t="s">
        <v>22</v>
      </c>
      <c r="AE60" s="293" t="s">
        <v>22</v>
      </c>
    </row>
    <row r="61" spans="1:31" ht="39.950000000000003" customHeight="1" x14ac:dyDescent="0.25">
      <c r="A61" s="30">
        <f t="shared" si="0"/>
        <v>48</v>
      </c>
      <c r="B61" s="39">
        <v>44440</v>
      </c>
      <c r="C61" s="37" t="s">
        <v>22</v>
      </c>
      <c r="D61" s="128" t="s">
        <v>100</v>
      </c>
      <c r="E61" s="37" t="s">
        <v>22</v>
      </c>
      <c r="F61" s="40" t="s">
        <v>22</v>
      </c>
      <c r="G61" s="37" t="s">
        <v>22</v>
      </c>
      <c r="H61" s="41" t="s">
        <v>22</v>
      </c>
      <c r="I61" s="38" t="s">
        <v>22</v>
      </c>
      <c r="J61" s="128" t="s">
        <v>100</v>
      </c>
      <c r="K61" s="71">
        <v>1</v>
      </c>
      <c r="L61" s="72">
        <v>1</v>
      </c>
      <c r="M61" s="71">
        <v>1</v>
      </c>
      <c r="N61" s="72">
        <v>1</v>
      </c>
      <c r="O61" s="71">
        <v>1</v>
      </c>
      <c r="P61" s="72">
        <v>1</v>
      </c>
      <c r="Q61" s="71">
        <v>1</v>
      </c>
      <c r="R61" s="72">
        <v>1</v>
      </c>
      <c r="S61" s="287">
        <v>1</v>
      </c>
      <c r="T61" s="291" t="s">
        <v>22</v>
      </c>
      <c r="U61" s="126">
        <v>1</v>
      </c>
      <c r="V61" s="127">
        <v>1</v>
      </c>
      <c r="W61" s="126">
        <v>1</v>
      </c>
      <c r="X61" s="127">
        <v>1</v>
      </c>
      <c r="Y61" s="126">
        <v>1</v>
      </c>
      <c r="Z61" s="127">
        <v>1</v>
      </c>
      <c r="AA61" s="126">
        <v>1</v>
      </c>
      <c r="AB61" s="127">
        <v>1</v>
      </c>
      <c r="AC61" s="275">
        <v>1</v>
      </c>
      <c r="AD61" s="292" t="s">
        <v>22</v>
      </c>
      <c r="AE61" s="293" t="s">
        <v>273</v>
      </c>
    </row>
    <row r="62" spans="1:31" ht="39.950000000000003" customHeight="1" x14ac:dyDescent="0.25">
      <c r="A62" s="30">
        <f t="shared" si="0"/>
        <v>49</v>
      </c>
      <c r="B62" s="39">
        <v>44105</v>
      </c>
      <c r="C62" s="37" t="s">
        <v>22</v>
      </c>
      <c r="D62" s="128" t="s">
        <v>104</v>
      </c>
      <c r="E62" s="37" t="s">
        <v>22</v>
      </c>
      <c r="F62" s="40" t="s">
        <v>22</v>
      </c>
      <c r="G62" s="37" t="s">
        <v>22</v>
      </c>
      <c r="H62" s="41" t="s">
        <v>22</v>
      </c>
      <c r="I62" s="38" t="s">
        <v>22</v>
      </c>
      <c r="J62" s="128" t="s">
        <v>104</v>
      </c>
      <c r="K62" s="71">
        <v>1</v>
      </c>
      <c r="L62" s="72">
        <v>1</v>
      </c>
      <c r="M62" s="71">
        <v>1</v>
      </c>
      <c r="N62" s="72">
        <v>1</v>
      </c>
      <c r="O62" s="71">
        <v>1</v>
      </c>
      <c r="P62" s="72">
        <v>1</v>
      </c>
      <c r="Q62" s="71">
        <v>1</v>
      </c>
      <c r="R62" s="72">
        <v>1</v>
      </c>
      <c r="S62" s="287">
        <v>1</v>
      </c>
      <c r="T62" s="291" t="s">
        <v>22</v>
      </c>
      <c r="U62" s="126">
        <v>1</v>
      </c>
      <c r="V62" s="127">
        <v>1</v>
      </c>
      <c r="W62" s="126">
        <v>1</v>
      </c>
      <c r="X62" s="127">
        <v>1</v>
      </c>
      <c r="Y62" s="126">
        <v>1</v>
      </c>
      <c r="Z62" s="127">
        <v>1</v>
      </c>
      <c r="AA62" s="126">
        <v>1</v>
      </c>
      <c r="AB62" s="127">
        <v>1</v>
      </c>
      <c r="AC62" s="275">
        <v>1</v>
      </c>
      <c r="AD62" s="292" t="s">
        <v>22</v>
      </c>
      <c r="AE62" s="293" t="s">
        <v>273</v>
      </c>
    </row>
    <row r="63" spans="1:31" ht="39.950000000000003" customHeight="1" x14ac:dyDescent="0.25">
      <c r="A63" s="30">
        <f t="shared" si="0"/>
        <v>50</v>
      </c>
      <c r="B63" s="39">
        <v>44136</v>
      </c>
      <c r="C63" s="37" t="s">
        <v>22</v>
      </c>
      <c r="D63" s="128" t="s">
        <v>100</v>
      </c>
      <c r="E63" s="37" t="s">
        <v>22</v>
      </c>
      <c r="F63" s="40" t="s">
        <v>22</v>
      </c>
      <c r="G63" s="37" t="s">
        <v>22</v>
      </c>
      <c r="H63" s="41" t="s">
        <v>22</v>
      </c>
      <c r="I63" s="38" t="s">
        <v>22</v>
      </c>
      <c r="J63" s="128" t="s">
        <v>100</v>
      </c>
      <c r="K63" s="71">
        <v>1</v>
      </c>
      <c r="L63" s="72">
        <v>1</v>
      </c>
      <c r="M63" s="71">
        <v>1</v>
      </c>
      <c r="N63" s="72">
        <v>1</v>
      </c>
      <c r="O63" s="71">
        <v>1</v>
      </c>
      <c r="P63" s="72">
        <v>1</v>
      </c>
      <c r="Q63" s="71">
        <v>1</v>
      </c>
      <c r="R63" s="72">
        <v>1</v>
      </c>
      <c r="S63" s="287">
        <v>1</v>
      </c>
      <c r="T63" s="291" t="s">
        <v>22</v>
      </c>
      <c r="U63" s="126">
        <v>1</v>
      </c>
      <c r="V63" s="127">
        <v>1</v>
      </c>
      <c r="W63" s="126">
        <v>1</v>
      </c>
      <c r="X63" s="127">
        <v>1</v>
      </c>
      <c r="Y63" s="126">
        <v>1</v>
      </c>
      <c r="Z63" s="127">
        <v>1</v>
      </c>
      <c r="AA63" s="126">
        <v>1</v>
      </c>
      <c r="AB63" s="127">
        <v>1</v>
      </c>
      <c r="AC63" s="275">
        <v>1</v>
      </c>
      <c r="AD63" s="292" t="s">
        <v>22</v>
      </c>
      <c r="AE63" s="293" t="s">
        <v>273</v>
      </c>
    </row>
  </sheetData>
  <mergeCells count="25">
    <mergeCell ref="A2:R2"/>
    <mergeCell ref="A3:R3"/>
    <mergeCell ref="A4:R4"/>
    <mergeCell ref="K12:T12"/>
    <mergeCell ref="H9:J9"/>
    <mergeCell ref="H10:J10"/>
    <mergeCell ref="K6:R6"/>
    <mergeCell ref="K7:R7"/>
    <mergeCell ref="K8:R8"/>
    <mergeCell ref="K9:R9"/>
    <mergeCell ref="K10:R10"/>
    <mergeCell ref="B12:J12"/>
    <mergeCell ref="E7:G7"/>
    <mergeCell ref="E8:G9"/>
    <mergeCell ref="A7:D7"/>
    <mergeCell ref="A11:P11"/>
    <mergeCell ref="H7:J7"/>
    <mergeCell ref="H8:J8"/>
    <mergeCell ref="U12:AD12"/>
    <mergeCell ref="E10:F10"/>
    <mergeCell ref="A5:P5"/>
    <mergeCell ref="A6:D6"/>
    <mergeCell ref="E6:G6"/>
    <mergeCell ref="H6:J6"/>
    <mergeCell ref="A8:D9"/>
  </mergeCells>
  <dataValidations count="2">
    <dataValidation type="whole" allowBlank="1" showInputMessage="1" showErrorMessage="1" prompt="Use a number, Do NOT use alphabet" sqref="K14:S63 U14:AC63" xr:uid="{880BF910-1C43-4659-8403-64862DC6ABE6}">
      <formula1>0</formula1>
      <formula2>5000</formula2>
    </dataValidation>
    <dataValidation allowBlank="1" showInputMessage="1" showErrorMessage="1" prompt="Use MM/DD/YYYY format.  Leave blank until date is needed. " sqref="B14:B63" xr:uid="{6C2AAE8A-3F29-4103-83CF-92AA9F39BEE8}"/>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27500CA-D6A7-48E8-8A17-7B045664DAD1}">
          <x14:formula1>
            <xm:f>'Pick List '!$G$15:$G$16</xm:f>
          </x14:formula1>
          <xm:sqref>D14:D63 J14:J63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849AC-C381-418E-A381-7E77FBC02083}">
  <sheetPr>
    <tabColor theme="9" tint="-0.499984740745262"/>
  </sheetPr>
  <dimension ref="A1:AH63"/>
  <sheetViews>
    <sheetView topLeftCell="G1" workbookViewId="0">
      <pane ySplit="1" topLeftCell="A5" activePane="bottomLeft" state="frozen"/>
      <selection activeCell="C1" sqref="C1"/>
      <selection pane="bottomLeft" activeCell="U5" sqref="U5"/>
    </sheetView>
  </sheetViews>
  <sheetFormatPr defaultRowHeight="15" x14ac:dyDescent="0.25"/>
  <cols>
    <col min="1" max="1" width="4.7109375" customWidth="1"/>
    <col min="2" max="2" width="11" customWidth="1"/>
    <col min="3" max="4" width="16.85546875" customWidth="1"/>
    <col min="5" max="5" width="20" customWidth="1"/>
    <col min="6" max="6" width="14" customWidth="1"/>
    <col min="7" max="7" width="16.140625" customWidth="1"/>
    <col min="8" max="8" width="16.5703125" customWidth="1"/>
    <col min="9" max="9" width="18.140625" customWidth="1"/>
    <col min="10" max="10" width="14.140625" customWidth="1"/>
    <col min="11" max="12" width="13.28515625" customWidth="1"/>
    <col min="13" max="13" width="12.140625" customWidth="1"/>
    <col min="14" max="31" width="5.7109375" customWidth="1"/>
    <col min="32" max="32" width="7" customWidth="1"/>
    <col min="33" max="33" width="11.7109375" customWidth="1"/>
    <col min="34" max="34" width="55.28515625" customWidth="1"/>
  </cols>
  <sheetData>
    <row r="1" spans="1:34" ht="69.95" customHeight="1" x14ac:dyDescent="0.25">
      <c r="A1" s="462" t="s">
        <v>245</v>
      </c>
      <c r="B1" s="459" t="s">
        <v>246</v>
      </c>
      <c r="C1" s="458" t="s">
        <v>556</v>
      </c>
      <c r="D1" s="467" t="s">
        <v>557</v>
      </c>
      <c r="E1" s="268" t="s">
        <v>247</v>
      </c>
      <c r="F1" s="269" t="s">
        <v>248</v>
      </c>
      <c r="G1" s="270" t="s">
        <v>249</v>
      </c>
      <c r="H1" s="271" t="s">
        <v>272</v>
      </c>
      <c r="I1" s="270" t="s">
        <v>274</v>
      </c>
      <c r="J1" s="272" t="s">
        <v>250</v>
      </c>
      <c r="K1" s="273" t="s">
        <v>251</v>
      </c>
      <c r="L1" s="562" t="s">
        <v>590</v>
      </c>
      <c r="M1" s="560" t="s">
        <v>252</v>
      </c>
      <c r="N1" s="404" t="e">
        <f>'BASE GRANTEE INFO &amp; UPDATES'!#REF!</f>
        <v>#REF!</v>
      </c>
      <c r="O1" s="415" t="e">
        <f>'BASE GRANTEE INFO &amp; UPDATES'!#REF!</f>
        <v>#REF!</v>
      </c>
      <c r="P1" s="404" t="e">
        <f>'BASE GRANTEE INFO &amp; UPDATES'!#REF!</f>
        <v>#REF!</v>
      </c>
      <c r="Q1" s="415" t="e">
        <f>'BASE GRANTEE INFO &amp; UPDATES'!#REF!</f>
        <v>#REF!</v>
      </c>
      <c r="R1" s="404" t="e">
        <f>'BASE GRANTEE INFO &amp; UPDATES'!#REF!</f>
        <v>#REF!</v>
      </c>
      <c r="S1" s="415" t="e">
        <f>'BASE GRANTEE INFO &amp; UPDATES'!#REF!</f>
        <v>#REF!</v>
      </c>
      <c r="T1" s="404" t="e">
        <f>'BASE GRANTEE INFO &amp; UPDATES'!#REF!</f>
        <v>#REF!</v>
      </c>
      <c r="U1" s="415" t="e">
        <f>'BASE GRANTEE INFO &amp; UPDATES'!#REF!</f>
        <v>#REF!</v>
      </c>
      <c r="V1" s="410" t="e">
        <f>'BASE GRANTEE INFO &amp; UPDATES'!#REF!</f>
        <v>#REF!</v>
      </c>
      <c r="W1" s="409" t="e">
        <f>'BASE GRANTEE INFO &amp; UPDATES'!#REF!</f>
        <v>#REF!</v>
      </c>
      <c r="X1" s="46" t="s">
        <v>253</v>
      </c>
      <c r="Y1" s="47" t="s">
        <v>254</v>
      </c>
      <c r="Z1" s="46" t="s">
        <v>255</v>
      </c>
      <c r="AA1" s="47" t="s">
        <v>256</v>
      </c>
      <c r="AB1" s="46" t="s">
        <v>257</v>
      </c>
      <c r="AC1" s="47" t="s">
        <v>258</v>
      </c>
      <c r="AD1" s="46" t="s">
        <v>259</v>
      </c>
      <c r="AE1" s="47" t="s">
        <v>260</v>
      </c>
      <c r="AF1" s="283" t="s">
        <v>459</v>
      </c>
      <c r="AG1" s="290" t="s">
        <v>356</v>
      </c>
      <c r="AH1" s="250" t="s">
        <v>262</v>
      </c>
    </row>
    <row r="2" spans="1:34" ht="20.100000000000001" customHeight="1" x14ac:dyDescent="0.25">
      <c r="A2" s="1255" t="str">
        <f>'BASE GRANTEE INFO &amp; UPDATES'!A1</f>
        <v>WV Bureau for Behavioral Health and Health Facilities -Community Anti-Drug Coalitions of America and Teen Court</v>
      </c>
      <c r="B2" s="1256"/>
      <c r="C2" s="1256"/>
      <c r="D2" s="1256"/>
      <c r="E2" s="1256"/>
      <c r="F2" s="1256"/>
      <c r="G2" s="1256"/>
      <c r="H2" s="1256"/>
      <c r="I2" s="1256"/>
      <c r="J2" s="1256"/>
      <c r="K2" s="1256"/>
      <c r="L2" s="1256"/>
      <c r="M2" s="1256"/>
      <c r="N2" s="1304" t="s">
        <v>751</v>
      </c>
      <c r="O2" s="1304"/>
      <c r="P2" s="1304"/>
      <c r="Q2" s="1304"/>
      <c r="R2" s="1304"/>
      <c r="S2" s="1304"/>
      <c r="T2" s="1304"/>
      <c r="U2" s="1304"/>
      <c r="V2" s="1304"/>
      <c r="W2" s="1304"/>
      <c r="X2" s="29"/>
      <c r="Y2" s="29"/>
      <c r="Z2" s="29"/>
      <c r="AA2" s="29"/>
      <c r="AB2" s="29"/>
      <c r="AC2" s="29"/>
      <c r="AD2" s="29"/>
      <c r="AE2" s="29"/>
      <c r="AF2" s="29"/>
      <c r="AG2" s="29"/>
      <c r="AH2" s="276"/>
    </row>
    <row r="3" spans="1:34" ht="20.100000000000001" customHeight="1" x14ac:dyDescent="0.25">
      <c r="A3" s="1258" t="str">
        <f>'BASE GRANTEE INFO &amp; UPDATES'!A2</f>
        <v>FISCAL YEAR: 2025 (09/30/2024 - 09/29/2025)</v>
      </c>
      <c r="B3" s="1259"/>
      <c r="C3" s="1259"/>
      <c r="D3" s="1259"/>
      <c r="E3" s="1259"/>
      <c r="F3" s="1259"/>
      <c r="G3" s="1259"/>
      <c r="H3" s="1259"/>
      <c r="I3" s="1259"/>
      <c r="J3" s="1259"/>
      <c r="K3" s="1259"/>
      <c r="L3" s="1259"/>
      <c r="M3" s="1259"/>
      <c r="N3" s="568"/>
      <c r="O3" s="568"/>
      <c r="P3" s="568"/>
      <c r="Q3" s="568"/>
      <c r="R3" s="568"/>
      <c r="S3" s="568"/>
      <c r="T3" s="568"/>
      <c r="U3" s="568"/>
      <c r="V3" s="23"/>
      <c r="W3" s="23"/>
      <c r="X3" s="23"/>
      <c r="Y3" s="23"/>
      <c r="Z3" s="23"/>
      <c r="AA3" s="23"/>
      <c r="AB3" s="23"/>
      <c r="AC3" s="23"/>
      <c r="AD3" s="23"/>
      <c r="AE3" s="23"/>
      <c r="AF3" s="23"/>
      <c r="AG3" s="23"/>
      <c r="AH3" s="277"/>
    </row>
    <row r="4" spans="1:34" ht="20.100000000000001" customHeight="1" x14ac:dyDescent="0.25">
      <c r="A4" s="1261" t="str">
        <f>'BASE GRANTEE INFO &amp; UPDATES'!A3</f>
        <v xml:space="preserve">Program reports need to be submitted electronically, via e-mail to BBHReporting@wv.gov  within 25 calendar days of the end of each month </v>
      </c>
      <c r="B4" s="1262"/>
      <c r="C4" s="1262"/>
      <c r="D4" s="1262"/>
      <c r="E4" s="1262"/>
      <c r="F4" s="1262"/>
      <c r="G4" s="1262"/>
      <c r="H4" s="1262"/>
      <c r="I4" s="1262"/>
      <c r="J4" s="1262"/>
      <c r="K4" s="1262"/>
      <c r="L4" s="1262"/>
      <c r="M4" s="1262"/>
      <c r="N4" s="569"/>
      <c r="O4" s="569"/>
      <c r="P4" s="569"/>
      <c r="Q4" s="569"/>
      <c r="R4" s="569"/>
      <c r="S4" s="569"/>
      <c r="T4" s="569"/>
      <c r="U4" s="569"/>
      <c r="V4" s="23"/>
      <c r="W4" s="23"/>
      <c r="X4" s="23"/>
      <c r="Y4" s="23"/>
      <c r="Z4" s="23"/>
      <c r="AA4" s="23"/>
      <c r="AB4" s="23"/>
      <c r="AC4" s="23"/>
      <c r="AD4" s="23"/>
      <c r="AE4" s="23"/>
      <c r="AF4" s="23"/>
      <c r="AG4" s="23"/>
      <c r="AH4" s="277"/>
    </row>
    <row r="5" spans="1:34" ht="20.25" customHeight="1" x14ac:dyDescent="0.25">
      <c r="A5" s="1248" t="s">
        <v>484</v>
      </c>
      <c r="B5" s="1249"/>
      <c r="C5" s="1249"/>
      <c r="D5" s="1249"/>
      <c r="E5" s="1249"/>
      <c r="F5" s="1249"/>
      <c r="G5" s="1249"/>
      <c r="H5" s="1249"/>
      <c r="I5" s="1249"/>
      <c r="J5" s="1250"/>
      <c r="K5" s="1250"/>
      <c r="L5" s="1250"/>
      <c r="M5" s="1250"/>
      <c r="N5" s="1250"/>
      <c r="O5" s="1250"/>
      <c r="P5" s="1250"/>
      <c r="Q5" s="1250"/>
      <c r="R5" s="1250"/>
      <c r="S5" s="1250"/>
      <c r="T5" s="25"/>
      <c r="U5" s="25"/>
      <c r="V5" s="25"/>
      <c r="W5" s="25"/>
      <c r="X5" s="25"/>
      <c r="Y5" s="25"/>
      <c r="Z5" s="25"/>
      <c r="AA5" s="25"/>
      <c r="AB5" s="25"/>
      <c r="AC5" s="25"/>
      <c r="AD5" s="25"/>
      <c r="AE5" s="25"/>
      <c r="AF5" s="25"/>
      <c r="AG5" s="25"/>
      <c r="AH5" s="278"/>
    </row>
    <row r="6" spans="1:34" ht="19.5" customHeight="1" x14ac:dyDescent="0.25">
      <c r="A6" s="1299" t="s">
        <v>263</v>
      </c>
      <c r="B6" s="1300"/>
      <c r="C6" s="1300"/>
      <c r="D6" s="1301"/>
      <c r="E6" s="1253" t="str">
        <f>'BASE GRANTEE INFO &amp; UPDATES'!E5</f>
        <v xml:space="preserve">Community Anti-Drug Coalitions of America (CADCA) and Teen Court </v>
      </c>
      <c r="F6" s="1298"/>
      <c r="G6" s="1298"/>
      <c r="H6" s="1302" t="s">
        <v>1</v>
      </c>
      <c r="I6" s="1303"/>
      <c r="J6" s="1253">
        <f>'BASE GRANTEE INFO &amp; UPDATES'!M5</f>
        <v>0</v>
      </c>
      <c r="K6" s="1298"/>
      <c r="L6" s="1298"/>
      <c r="M6" s="1298"/>
      <c r="N6" s="27"/>
      <c r="O6" s="26"/>
      <c r="P6" s="26"/>
      <c r="Q6" s="26"/>
      <c r="R6" s="26"/>
      <c r="S6" s="26"/>
      <c r="T6" s="26"/>
      <c r="U6" s="26"/>
      <c r="V6" s="27"/>
      <c r="W6" s="27"/>
      <c r="X6" s="27"/>
      <c r="Y6" s="27"/>
      <c r="Z6" s="27"/>
      <c r="AA6" s="27"/>
      <c r="AB6" s="26"/>
      <c r="AC6" s="26"/>
      <c r="AD6" s="26"/>
      <c r="AE6" s="26"/>
      <c r="AF6" s="26"/>
      <c r="AG6" s="26"/>
      <c r="AH6" s="279"/>
    </row>
    <row r="7" spans="1:34" x14ac:dyDescent="0.25">
      <c r="A7" s="1286" t="s">
        <v>264</v>
      </c>
      <c r="B7" s="1287"/>
      <c r="C7" s="1287"/>
      <c r="D7" s="1288"/>
      <c r="E7" s="1271" t="str">
        <f>'BASE GRANTEE INFO &amp; UPDATES'!E6</f>
        <v>CADCA In Action and Teen Court</v>
      </c>
      <c r="F7" s="1276"/>
      <c r="G7" s="1276"/>
      <c r="H7" s="1296" t="s">
        <v>265</v>
      </c>
      <c r="I7" s="1297"/>
      <c r="J7" s="1284">
        <f>'BASE GRANTEE INFO &amp; UPDATES'!M6</f>
        <v>0</v>
      </c>
      <c r="K7" s="1285"/>
      <c r="L7" s="1285"/>
      <c r="M7" s="1285"/>
      <c r="N7" s="27"/>
      <c r="O7" s="567"/>
      <c r="P7" s="567"/>
      <c r="Q7" s="567"/>
      <c r="R7" s="567"/>
      <c r="S7" s="567"/>
      <c r="T7" s="567"/>
      <c r="U7" s="567"/>
      <c r="V7" s="27"/>
      <c r="W7" s="27"/>
      <c r="X7" s="27"/>
      <c r="Y7" s="27"/>
      <c r="Z7" s="27"/>
      <c r="AA7" s="27"/>
      <c r="AB7" s="27"/>
      <c r="AC7" s="27"/>
      <c r="AD7" s="27"/>
      <c r="AE7" s="27"/>
      <c r="AF7" s="27"/>
      <c r="AG7" s="27"/>
      <c r="AH7" s="279"/>
    </row>
    <row r="8" spans="1:34" ht="15" customHeight="1" x14ac:dyDescent="0.25">
      <c r="A8" s="1289" t="s">
        <v>266</v>
      </c>
      <c r="B8" s="1290"/>
      <c r="C8" s="1290"/>
      <c r="D8" s="1291"/>
      <c r="E8" s="1273">
        <f>'BASE GRANTEE INFO &amp; UPDATES'!E7</f>
        <v>0</v>
      </c>
      <c r="F8" s="1295"/>
      <c r="G8" s="1295"/>
      <c r="H8" s="1286" t="s">
        <v>267</v>
      </c>
      <c r="I8" s="1288"/>
      <c r="J8" s="1271">
        <f>'BASE GRANTEE INFO &amp; UPDATES'!M7</f>
        <v>0</v>
      </c>
      <c r="K8" s="1276"/>
      <c r="L8" s="1276"/>
      <c r="M8" s="1276"/>
      <c r="N8" s="27"/>
      <c r="O8" s="27"/>
      <c r="P8" s="27"/>
      <c r="Q8" s="27"/>
      <c r="R8" s="27"/>
      <c r="S8" s="27"/>
      <c r="T8" s="27"/>
      <c r="U8" s="27"/>
      <c r="V8" s="27"/>
      <c r="W8" s="27"/>
      <c r="X8" s="27"/>
      <c r="Y8" s="27"/>
      <c r="Z8" s="27"/>
      <c r="AA8" s="27"/>
      <c r="AB8" s="28"/>
      <c r="AC8" s="28"/>
      <c r="AD8" s="28"/>
      <c r="AE8" s="28"/>
      <c r="AF8" s="28"/>
      <c r="AG8" s="28"/>
      <c r="AH8" s="279"/>
    </row>
    <row r="9" spans="1:34" x14ac:dyDescent="0.25">
      <c r="A9" s="1292"/>
      <c r="B9" s="1293"/>
      <c r="C9" s="1293"/>
      <c r="D9" s="1294"/>
      <c r="E9" s="526"/>
      <c r="F9" s="565"/>
      <c r="G9" s="565"/>
      <c r="H9" s="1286" t="s">
        <v>268</v>
      </c>
      <c r="I9" s="1288"/>
      <c r="J9" s="1271">
        <f>'BASE GRANTEE INFO &amp; UPDATES'!M8</f>
        <v>0</v>
      </c>
      <c r="K9" s="1276"/>
      <c r="L9" s="1276"/>
      <c r="M9" s="1276"/>
      <c r="N9" s="27"/>
      <c r="O9" s="27"/>
      <c r="P9" s="27"/>
      <c r="Q9" s="27"/>
      <c r="R9" s="27"/>
      <c r="S9" s="27"/>
      <c r="T9" s="27"/>
      <c r="U9" s="27"/>
      <c r="V9" s="27"/>
      <c r="W9" s="27"/>
      <c r="X9" s="27"/>
      <c r="Y9" s="27"/>
      <c r="Z9" s="27"/>
      <c r="AA9" s="27"/>
      <c r="AB9" s="28"/>
      <c r="AC9" s="28"/>
      <c r="AD9" s="28"/>
      <c r="AE9" s="28"/>
      <c r="AF9" s="28"/>
      <c r="AG9" s="28"/>
      <c r="AH9" s="279"/>
    </row>
    <row r="10" spans="1:34" x14ac:dyDescent="0.25">
      <c r="A10" s="1280" t="s">
        <v>269</v>
      </c>
      <c r="B10" s="1281"/>
      <c r="C10" s="1281"/>
      <c r="D10" s="1281"/>
      <c r="E10" s="566" t="str">
        <f>'BASE GRANTEE INFO &amp; UPDATES'!E9</f>
        <v>September 1 - 30</v>
      </c>
      <c r="F10" s="566"/>
      <c r="G10" s="265">
        <f>'BASE GRANTEE INFO &amp; UPDATES'!G9</f>
        <v>2024</v>
      </c>
      <c r="H10" s="1282" t="s">
        <v>456</v>
      </c>
      <c r="I10" s="1283"/>
      <c r="J10" s="1271">
        <f>'BASE GRANTEE INFO &amp; UPDATES'!M9</f>
        <v>0</v>
      </c>
      <c r="K10" s="1276"/>
      <c r="L10" s="1276"/>
      <c r="M10" s="1276"/>
      <c r="N10" s="27"/>
      <c r="O10" s="27"/>
      <c r="P10" s="27"/>
      <c r="Q10" s="27"/>
      <c r="R10" s="27"/>
      <c r="S10" s="27"/>
      <c r="T10" s="27"/>
      <c r="U10" s="27"/>
      <c r="V10" s="27"/>
      <c r="W10" s="27"/>
      <c r="X10" s="27"/>
      <c r="Y10" s="27"/>
      <c r="Z10" s="27"/>
      <c r="AA10" s="27"/>
      <c r="AB10" s="27"/>
      <c r="AC10" s="27"/>
      <c r="AD10" s="27"/>
      <c r="AE10" s="27"/>
      <c r="AF10" s="27"/>
      <c r="AG10" s="27"/>
      <c r="AH10" s="279"/>
    </row>
    <row r="11" spans="1:34" ht="18.75" customHeight="1" x14ac:dyDescent="0.25">
      <c r="A11" s="1274" t="s">
        <v>485</v>
      </c>
      <c r="B11" s="1275"/>
      <c r="C11" s="1275"/>
      <c r="D11" s="1275"/>
      <c r="E11" s="1275"/>
      <c r="F11" s="1275"/>
      <c r="G11" s="1275"/>
      <c r="H11" s="1275"/>
      <c r="I11" s="1275"/>
      <c r="J11" s="1249"/>
      <c r="K11" s="1249"/>
      <c r="L11" s="1249"/>
      <c r="M11" s="1249"/>
      <c r="N11" s="1249"/>
      <c r="O11" s="1249"/>
      <c r="P11" s="1249"/>
      <c r="Q11" s="1249"/>
      <c r="R11" s="1249"/>
      <c r="S11" s="1249"/>
      <c r="T11" s="24"/>
      <c r="U11" s="24"/>
      <c r="V11" s="24"/>
      <c r="W11" s="24"/>
      <c r="X11" s="24"/>
      <c r="Y11" s="24"/>
      <c r="Z11" s="24"/>
      <c r="AA11" s="24"/>
      <c r="AB11" s="24"/>
      <c r="AC11" s="24"/>
      <c r="AD11" s="24"/>
      <c r="AE11" s="24"/>
      <c r="AF11" s="24"/>
      <c r="AG11" s="24"/>
      <c r="AH11" s="280"/>
    </row>
    <row r="12" spans="1:34" ht="39.950000000000003" customHeight="1" x14ac:dyDescent="0.25">
      <c r="A12" s="463" t="s">
        <v>245</v>
      </c>
      <c r="B12" s="1270" t="s">
        <v>155</v>
      </c>
      <c r="C12" s="1270"/>
      <c r="D12" s="1270"/>
      <c r="E12" s="1270"/>
      <c r="F12" s="1270"/>
      <c r="G12" s="1270"/>
      <c r="H12" s="1270"/>
      <c r="I12" s="1270"/>
      <c r="J12" s="1270"/>
      <c r="K12" s="1270"/>
      <c r="L12" s="1270"/>
      <c r="M12" s="1270"/>
      <c r="N12" s="1277" t="s">
        <v>750</v>
      </c>
      <c r="O12" s="1278"/>
      <c r="P12" s="1278"/>
      <c r="Q12" s="1278"/>
      <c r="R12" s="1278"/>
      <c r="S12" s="1278"/>
      <c r="T12" s="1278"/>
      <c r="U12" s="1278"/>
      <c r="V12" s="1278"/>
      <c r="W12" s="1279"/>
      <c r="X12" s="1244" t="s">
        <v>271</v>
      </c>
      <c r="Y12" s="1245"/>
      <c r="Z12" s="1245"/>
      <c r="AA12" s="1245"/>
      <c r="AB12" s="1245"/>
      <c r="AC12" s="1245"/>
      <c r="AD12" s="1245"/>
      <c r="AE12" s="1245"/>
      <c r="AF12" s="1245"/>
      <c r="AG12" s="1246"/>
      <c r="AH12" s="281" t="s">
        <v>262</v>
      </c>
    </row>
    <row r="13" spans="1:34" ht="69.95" customHeight="1" x14ac:dyDescent="0.25">
      <c r="A13" s="464" t="s">
        <v>245</v>
      </c>
      <c r="B13" s="460" t="s">
        <v>246</v>
      </c>
      <c r="C13" s="458" t="s">
        <v>556</v>
      </c>
      <c r="D13" s="467" t="s">
        <v>557</v>
      </c>
      <c r="E13" s="42" t="s">
        <v>247</v>
      </c>
      <c r="F13" s="74" t="s">
        <v>248</v>
      </c>
      <c r="G13" s="33" t="s">
        <v>249</v>
      </c>
      <c r="H13" s="34" t="s">
        <v>272</v>
      </c>
      <c r="I13" s="33" t="s">
        <v>274</v>
      </c>
      <c r="J13" s="35" t="s">
        <v>250</v>
      </c>
      <c r="K13" s="460" t="s">
        <v>251</v>
      </c>
      <c r="L13" s="562" t="s">
        <v>590</v>
      </c>
      <c r="M13" s="561" t="s">
        <v>252</v>
      </c>
      <c r="N13" s="402" t="e">
        <f>'BASE GRANTEE INFO &amp; UPDATES'!#REF!</f>
        <v>#REF!</v>
      </c>
      <c r="O13" s="413" t="e">
        <f>'BASE GRANTEE INFO &amp; UPDATES'!#REF!</f>
        <v>#REF!</v>
      </c>
      <c r="P13" s="402" t="e">
        <f>'BASE GRANTEE INFO &amp; UPDATES'!#REF!</f>
        <v>#REF!</v>
      </c>
      <c r="Q13" s="413" t="e">
        <f>'BASE GRANTEE INFO &amp; UPDATES'!#REF!</f>
        <v>#REF!</v>
      </c>
      <c r="R13" s="402" t="e">
        <f>'BASE GRANTEE INFO &amp; UPDATES'!#REF!</f>
        <v>#REF!</v>
      </c>
      <c r="S13" s="413" t="e">
        <f>'BASE GRANTEE INFO &amp; UPDATES'!#REF!</f>
        <v>#REF!</v>
      </c>
      <c r="T13" s="402" t="e">
        <f>'BASE GRANTEE INFO &amp; UPDATES'!#REF!</f>
        <v>#REF!</v>
      </c>
      <c r="U13" s="413" t="e">
        <f>'BASE GRANTEE INFO &amp; UPDATES'!#REF!</f>
        <v>#REF!</v>
      </c>
      <c r="V13" s="402" t="e">
        <f>'BASE GRANTEE INFO &amp; UPDATES'!#REF!</f>
        <v>#REF!</v>
      </c>
      <c r="W13" s="416" t="e">
        <f>'BASE GRANTEE INFO &amp; UPDATES'!#REF!</f>
        <v>#REF!</v>
      </c>
      <c r="X13" s="284" t="s">
        <v>253</v>
      </c>
      <c r="Y13" s="288" t="s">
        <v>254</v>
      </c>
      <c r="Z13" s="284" t="s">
        <v>255</v>
      </c>
      <c r="AA13" s="288" t="s">
        <v>256</v>
      </c>
      <c r="AB13" s="284" t="s">
        <v>257</v>
      </c>
      <c r="AC13" s="288" t="s">
        <v>258</v>
      </c>
      <c r="AD13" s="284" t="s">
        <v>259</v>
      </c>
      <c r="AE13" s="288" t="s">
        <v>260</v>
      </c>
      <c r="AF13" s="283" t="s">
        <v>261</v>
      </c>
      <c r="AG13" s="290" t="s">
        <v>356</v>
      </c>
      <c r="AH13" s="282" t="s">
        <v>262</v>
      </c>
    </row>
    <row r="14" spans="1:34" ht="39.950000000000003" customHeight="1" x14ac:dyDescent="0.25">
      <c r="A14" s="465">
        <f t="shared" ref="A14:A63" si="0">ROW(A1)</f>
        <v>1</v>
      </c>
      <c r="B14" s="461">
        <v>44105</v>
      </c>
      <c r="C14" s="466" t="s">
        <v>158</v>
      </c>
      <c r="D14" s="468" t="s">
        <v>22</v>
      </c>
      <c r="E14" s="37" t="s">
        <v>22</v>
      </c>
      <c r="F14" s="563" t="s">
        <v>100</v>
      </c>
      <c r="G14" s="37" t="s">
        <v>22</v>
      </c>
      <c r="H14" s="40" t="s">
        <v>22</v>
      </c>
      <c r="I14" s="37" t="s">
        <v>22</v>
      </c>
      <c r="J14" s="41" t="s">
        <v>22</v>
      </c>
      <c r="K14" s="293" t="s">
        <v>22</v>
      </c>
      <c r="L14" s="563" t="s">
        <v>100</v>
      </c>
      <c r="M14" s="564" t="s">
        <v>100</v>
      </c>
      <c r="N14" s="403" t="s">
        <v>100</v>
      </c>
      <c r="O14" s="408" t="s">
        <v>100</v>
      </c>
      <c r="P14" s="403" t="s">
        <v>100</v>
      </c>
      <c r="Q14" s="408" t="s">
        <v>100</v>
      </c>
      <c r="R14" s="403" t="s">
        <v>100</v>
      </c>
      <c r="S14" s="408" t="s">
        <v>100</v>
      </c>
      <c r="T14" s="403" t="s">
        <v>100</v>
      </c>
      <c r="U14" s="408" t="s">
        <v>100</v>
      </c>
      <c r="V14" s="403" t="s">
        <v>100</v>
      </c>
      <c r="W14" s="408" t="s">
        <v>100</v>
      </c>
      <c r="X14" s="126">
        <v>1</v>
      </c>
      <c r="Y14" s="127">
        <v>1</v>
      </c>
      <c r="Z14" s="126">
        <v>1</v>
      </c>
      <c r="AA14" s="127">
        <v>1</v>
      </c>
      <c r="AB14" s="126">
        <v>1</v>
      </c>
      <c r="AC14" s="127">
        <v>1</v>
      </c>
      <c r="AD14" s="126">
        <v>1</v>
      </c>
      <c r="AE14" s="127">
        <v>1</v>
      </c>
      <c r="AF14" s="275">
        <v>1</v>
      </c>
      <c r="AG14" s="292" t="s">
        <v>22</v>
      </c>
      <c r="AH14" s="293" t="s">
        <v>273</v>
      </c>
    </row>
    <row r="15" spans="1:34" ht="39.950000000000003" customHeight="1" x14ac:dyDescent="0.25">
      <c r="A15" s="465">
        <f t="shared" si="0"/>
        <v>2</v>
      </c>
      <c r="B15" s="461">
        <v>44136</v>
      </c>
      <c r="C15" s="466" t="s">
        <v>555</v>
      </c>
      <c r="D15" s="468" t="s">
        <v>22</v>
      </c>
      <c r="E15" s="37" t="s">
        <v>22</v>
      </c>
      <c r="F15" s="563" t="s">
        <v>104</v>
      </c>
      <c r="G15" s="37" t="s">
        <v>22</v>
      </c>
      <c r="H15" s="40" t="s">
        <v>22</v>
      </c>
      <c r="I15" s="37" t="s">
        <v>22</v>
      </c>
      <c r="J15" s="41" t="s">
        <v>22</v>
      </c>
      <c r="K15" s="293" t="s">
        <v>22</v>
      </c>
      <c r="L15" s="563" t="s">
        <v>104</v>
      </c>
      <c r="M15" s="564" t="s">
        <v>104</v>
      </c>
      <c r="N15" s="403" t="s">
        <v>104</v>
      </c>
      <c r="O15" s="408" t="s">
        <v>104</v>
      </c>
      <c r="P15" s="403" t="s">
        <v>104</v>
      </c>
      <c r="Q15" s="408" t="s">
        <v>104</v>
      </c>
      <c r="R15" s="403" t="s">
        <v>104</v>
      </c>
      <c r="S15" s="408" t="s">
        <v>104</v>
      </c>
      <c r="T15" s="403" t="s">
        <v>104</v>
      </c>
      <c r="U15" s="408" t="s">
        <v>104</v>
      </c>
      <c r="V15" s="403" t="s">
        <v>104</v>
      </c>
      <c r="W15" s="408" t="s">
        <v>104</v>
      </c>
      <c r="X15" s="126">
        <v>1</v>
      </c>
      <c r="Y15" s="127">
        <v>1</v>
      </c>
      <c r="Z15" s="126">
        <v>1</v>
      </c>
      <c r="AA15" s="127">
        <v>1</v>
      </c>
      <c r="AB15" s="126">
        <v>1</v>
      </c>
      <c r="AC15" s="127">
        <v>1</v>
      </c>
      <c r="AD15" s="126">
        <v>1</v>
      </c>
      <c r="AE15" s="127">
        <v>1</v>
      </c>
      <c r="AF15" s="275">
        <v>1</v>
      </c>
      <c r="AG15" s="292" t="s">
        <v>22</v>
      </c>
      <c r="AH15" s="293" t="s">
        <v>273</v>
      </c>
    </row>
    <row r="16" spans="1:34" ht="39.950000000000003" customHeight="1" x14ac:dyDescent="0.25">
      <c r="A16" s="465">
        <f t="shared" si="0"/>
        <v>3</v>
      </c>
      <c r="B16" s="461">
        <v>44166</v>
      </c>
      <c r="C16" s="466" t="s">
        <v>162</v>
      </c>
      <c r="D16" s="468" t="s">
        <v>22</v>
      </c>
      <c r="E16" s="37" t="s">
        <v>22</v>
      </c>
      <c r="F16" s="563" t="s">
        <v>100</v>
      </c>
      <c r="G16" s="37" t="s">
        <v>22</v>
      </c>
      <c r="H16" s="40" t="s">
        <v>22</v>
      </c>
      <c r="I16" s="37" t="s">
        <v>22</v>
      </c>
      <c r="J16" s="41" t="s">
        <v>22</v>
      </c>
      <c r="K16" s="293" t="s">
        <v>22</v>
      </c>
      <c r="L16" s="563" t="s">
        <v>100</v>
      </c>
      <c r="M16" s="564" t="s">
        <v>100</v>
      </c>
      <c r="N16" s="403" t="s">
        <v>100</v>
      </c>
      <c r="O16" s="408" t="s">
        <v>100</v>
      </c>
      <c r="P16" s="403" t="s">
        <v>100</v>
      </c>
      <c r="Q16" s="408" t="s">
        <v>100</v>
      </c>
      <c r="R16" s="403" t="s">
        <v>100</v>
      </c>
      <c r="S16" s="408" t="s">
        <v>100</v>
      </c>
      <c r="T16" s="403" t="s">
        <v>100</v>
      </c>
      <c r="U16" s="408" t="s">
        <v>100</v>
      </c>
      <c r="V16" s="403" t="s">
        <v>100</v>
      </c>
      <c r="W16" s="408" t="s">
        <v>100</v>
      </c>
      <c r="X16" s="126">
        <v>1</v>
      </c>
      <c r="Y16" s="127">
        <v>1</v>
      </c>
      <c r="Z16" s="126">
        <v>1</v>
      </c>
      <c r="AA16" s="127">
        <v>1</v>
      </c>
      <c r="AB16" s="126">
        <v>1</v>
      </c>
      <c r="AC16" s="127">
        <v>1</v>
      </c>
      <c r="AD16" s="126">
        <v>1</v>
      </c>
      <c r="AE16" s="127">
        <v>1</v>
      </c>
      <c r="AF16" s="275">
        <v>1</v>
      </c>
      <c r="AG16" s="292" t="s">
        <v>22</v>
      </c>
      <c r="AH16" s="293" t="s">
        <v>273</v>
      </c>
    </row>
    <row r="17" spans="1:34" ht="39.950000000000003" customHeight="1" x14ac:dyDescent="0.25">
      <c r="A17" s="465">
        <f t="shared" si="0"/>
        <v>4</v>
      </c>
      <c r="B17" s="461">
        <v>44197</v>
      </c>
      <c r="C17" s="466" t="s">
        <v>164</v>
      </c>
      <c r="D17" s="468" t="s">
        <v>22</v>
      </c>
      <c r="E17" s="37" t="s">
        <v>22</v>
      </c>
      <c r="F17" s="563" t="s">
        <v>104</v>
      </c>
      <c r="G17" s="37" t="s">
        <v>22</v>
      </c>
      <c r="H17" s="40" t="s">
        <v>22</v>
      </c>
      <c r="I17" s="37" t="s">
        <v>22</v>
      </c>
      <c r="J17" s="41" t="s">
        <v>22</v>
      </c>
      <c r="K17" s="293" t="s">
        <v>22</v>
      </c>
      <c r="L17" s="563" t="s">
        <v>104</v>
      </c>
      <c r="M17" s="564" t="s">
        <v>104</v>
      </c>
      <c r="N17" s="403" t="s">
        <v>104</v>
      </c>
      <c r="O17" s="408" t="s">
        <v>104</v>
      </c>
      <c r="P17" s="403" t="s">
        <v>104</v>
      </c>
      <c r="Q17" s="408" t="s">
        <v>104</v>
      </c>
      <c r="R17" s="403" t="s">
        <v>104</v>
      </c>
      <c r="S17" s="408" t="s">
        <v>104</v>
      </c>
      <c r="T17" s="403" t="s">
        <v>104</v>
      </c>
      <c r="U17" s="408" t="s">
        <v>104</v>
      </c>
      <c r="V17" s="403" t="s">
        <v>104</v>
      </c>
      <c r="W17" s="408" t="s">
        <v>104</v>
      </c>
      <c r="X17" s="126">
        <v>1</v>
      </c>
      <c r="Y17" s="127">
        <v>1</v>
      </c>
      <c r="Z17" s="126">
        <v>1</v>
      </c>
      <c r="AA17" s="127">
        <v>1</v>
      </c>
      <c r="AB17" s="126">
        <v>1</v>
      </c>
      <c r="AC17" s="127">
        <v>1</v>
      </c>
      <c r="AD17" s="126">
        <v>1</v>
      </c>
      <c r="AE17" s="127">
        <v>1</v>
      </c>
      <c r="AF17" s="275">
        <v>1</v>
      </c>
      <c r="AG17" s="292" t="s">
        <v>22</v>
      </c>
      <c r="AH17" s="293" t="s">
        <v>273</v>
      </c>
    </row>
    <row r="18" spans="1:34" ht="39.950000000000003" customHeight="1" x14ac:dyDescent="0.25">
      <c r="A18" s="465">
        <f t="shared" si="0"/>
        <v>5</v>
      </c>
      <c r="B18" s="461">
        <v>44228</v>
      </c>
      <c r="C18" s="466" t="s">
        <v>158</v>
      </c>
      <c r="D18" s="468" t="s">
        <v>22</v>
      </c>
      <c r="E18" s="37" t="s">
        <v>22</v>
      </c>
      <c r="F18" s="563" t="s">
        <v>100</v>
      </c>
      <c r="G18" s="37" t="s">
        <v>22</v>
      </c>
      <c r="H18" s="40" t="s">
        <v>22</v>
      </c>
      <c r="I18" s="37" t="s">
        <v>22</v>
      </c>
      <c r="J18" s="41" t="s">
        <v>22</v>
      </c>
      <c r="K18" s="293" t="s">
        <v>22</v>
      </c>
      <c r="L18" s="563" t="s">
        <v>100</v>
      </c>
      <c r="M18" s="564" t="s">
        <v>100</v>
      </c>
      <c r="N18" s="403" t="s">
        <v>100</v>
      </c>
      <c r="O18" s="408" t="s">
        <v>100</v>
      </c>
      <c r="P18" s="403" t="s">
        <v>100</v>
      </c>
      <c r="Q18" s="408" t="s">
        <v>100</v>
      </c>
      <c r="R18" s="403" t="s">
        <v>100</v>
      </c>
      <c r="S18" s="408" t="s">
        <v>100</v>
      </c>
      <c r="T18" s="403" t="s">
        <v>100</v>
      </c>
      <c r="U18" s="408" t="s">
        <v>100</v>
      </c>
      <c r="V18" s="403" t="s">
        <v>100</v>
      </c>
      <c r="W18" s="408" t="s">
        <v>100</v>
      </c>
      <c r="X18" s="126">
        <v>1</v>
      </c>
      <c r="Y18" s="127">
        <v>1</v>
      </c>
      <c r="Z18" s="126">
        <v>1</v>
      </c>
      <c r="AA18" s="127">
        <v>1</v>
      </c>
      <c r="AB18" s="126">
        <v>1</v>
      </c>
      <c r="AC18" s="127">
        <v>1</v>
      </c>
      <c r="AD18" s="126">
        <v>1</v>
      </c>
      <c r="AE18" s="127">
        <v>1</v>
      </c>
      <c r="AF18" s="275">
        <v>1</v>
      </c>
      <c r="AG18" s="292" t="s">
        <v>22</v>
      </c>
      <c r="AH18" s="293" t="s">
        <v>273</v>
      </c>
    </row>
    <row r="19" spans="1:34" ht="39.950000000000003" customHeight="1" x14ac:dyDescent="0.25">
      <c r="A19" s="465">
        <f t="shared" si="0"/>
        <v>6</v>
      </c>
      <c r="B19" s="461">
        <v>44256</v>
      </c>
      <c r="C19" s="466" t="s">
        <v>555</v>
      </c>
      <c r="D19" s="468" t="s">
        <v>22</v>
      </c>
      <c r="E19" s="37" t="s">
        <v>22</v>
      </c>
      <c r="F19" s="563" t="s">
        <v>104</v>
      </c>
      <c r="G19" s="37" t="s">
        <v>22</v>
      </c>
      <c r="H19" s="40" t="s">
        <v>22</v>
      </c>
      <c r="I19" s="37" t="s">
        <v>22</v>
      </c>
      <c r="J19" s="41" t="s">
        <v>22</v>
      </c>
      <c r="K19" s="293" t="s">
        <v>22</v>
      </c>
      <c r="L19" s="563" t="s">
        <v>104</v>
      </c>
      <c r="M19" s="564" t="s">
        <v>104</v>
      </c>
      <c r="N19" s="403" t="s">
        <v>104</v>
      </c>
      <c r="O19" s="408" t="s">
        <v>104</v>
      </c>
      <c r="P19" s="403" t="s">
        <v>104</v>
      </c>
      <c r="Q19" s="408" t="s">
        <v>104</v>
      </c>
      <c r="R19" s="403" t="s">
        <v>104</v>
      </c>
      <c r="S19" s="408" t="s">
        <v>104</v>
      </c>
      <c r="T19" s="403" t="s">
        <v>104</v>
      </c>
      <c r="U19" s="408" t="s">
        <v>104</v>
      </c>
      <c r="V19" s="403" t="s">
        <v>104</v>
      </c>
      <c r="W19" s="408" t="s">
        <v>104</v>
      </c>
      <c r="X19" s="126">
        <v>1</v>
      </c>
      <c r="Y19" s="127">
        <v>1</v>
      </c>
      <c r="Z19" s="126">
        <v>1</v>
      </c>
      <c r="AA19" s="127">
        <v>1</v>
      </c>
      <c r="AB19" s="126">
        <v>1</v>
      </c>
      <c r="AC19" s="127">
        <v>1</v>
      </c>
      <c r="AD19" s="126">
        <v>1</v>
      </c>
      <c r="AE19" s="127">
        <v>1</v>
      </c>
      <c r="AF19" s="275">
        <v>1</v>
      </c>
      <c r="AG19" s="292" t="s">
        <v>22</v>
      </c>
      <c r="AH19" s="293" t="s">
        <v>22</v>
      </c>
    </row>
    <row r="20" spans="1:34" ht="39.950000000000003" customHeight="1" x14ac:dyDescent="0.25">
      <c r="A20" s="465">
        <f t="shared" si="0"/>
        <v>7</v>
      </c>
      <c r="B20" s="461">
        <v>44287</v>
      </c>
      <c r="C20" s="466" t="s">
        <v>162</v>
      </c>
      <c r="D20" s="468" t="s">
        <v>22</v>
      </c>
      <c r="E20" s="37" t="s">
        <v>22</v>
      </c>
      <c r="F20" s="563" t="s">
        <v>100</v>
      </c>
      <c r="G20" s="37" t="s">
        <v>22</v>
      </c>
      <c r="H20" s="40" t="s">
        <v>22</v>
      </c>
      <c r="I20" s="37" t="s">
        <v>22</v>
      </c>
      <c r="J20" s="41" t="s">
        <v>22</v>
      </c>
      <c r="K20" s="293" t="s">
        <v>22</v>
      </c>
      <c r="L20" s="563" t="s">
        <v>100</v>
      </c>
      <c r="M20" s="564" t="s">
        <v>100</v>
      </c>
      <c r="N20" s="403" t="s">
        <v>100</v>
      </c>
      <c r="O20" s="408" t="s">
        <v>100</v>
      </c>
      <c r="P20" s="403" t="s">
        <v>100</v>
      </c>
      <c r="Q20" s="408" t="s">
        <v>100</v>
      </c>
      <c r="R20" s="403" t="s">
        <v>100</v>
      </c>
      <c r="S20" s="408" t="s">
        <v>100</v>
      </c>
      <c r="T20" s="403" t="s">
        <v>100</v>
      </c>
      <c r="U20" s="408" t="s">
        <v>100</v>
      </c>
      <c r="V20" s="403" t="s">
        <v>100</v>
      </c>
      <c r="W20" s="408" t="s">
        <v>100</v>
      </c>
      <c r="X20" s="126">
        <v>1</v>
      </c>
      <c r="Y20" s="127">
        <v>1</v>
      </c>
      <c r="Z20" s="126">
        <v>1</v>
      </c>
      <c r="AA20" s="127">
        <v>1</v>
      </c>
      <c r="AB20" s="126">
        <v>1</v>
      </c>
      <c r="AC20" s="127">
        <v>1</v>
      </c>
      <c r="AD20" s="126">
        <v>1</v>
      </c>
      <c r="AE20" s="127">
        <v>1</v>
      </c>
      <c r="AF20" s="275">
        <v>1</v>
      </c>
      <c r="AG20" s="292" t="s">
        <v>22</v>
      </c>
      <c r="AH20" s="293" t="s">
        <v>22</v>
      </c>
    </row>
    <row r="21" spans="1:34" ht="39.950000000000003" customHeight="1" x14ac:dyDescent="0.25">
      <c r="A21" s="465">
        <f t="shared" si="0"/>
        <v>8</v>
      </c>
      <c r="B21" s="461">
        <v>44317</v>
      </c>
      <c r="C21" s="466" t="s">
        <v>164</v>
      </c>
      <c r="D21" s="468" t="s">
        <v>22</v>
      </c>
      <c r="E21" s="37" t="s">
        <v>22</v>
      </c>
      <c r="F21" s="563" t="s">
        <v>100</v>
      </c>
      <c r="G21" s="37" t="s">
        <v>22</v>
      </c>
      <c r="H21" s="40" t="s">
        <v>22</v>
      </c>
      <c r="I21" s="37" t="s">
        <v>22</v>
      </c>
      <c r="J21" s="41" t="s">
        <v>22</v>
      </c>
      <c r="K21" s="293" t="s">
        <v>22</v>
      </c>
      <c r="L21" s="563" t="s">
        <v>100</v>
      </c>
      <c r="M21" s="564" t="s">
        <v>100</v>
      </c>
      <c r="N21" s="403" t="s">
        <v>100</v>
      </c>
      <c r="O21" s="408" t="s">
        <v>100</v>
      </c>
      <c r="P21" s="403" t="s">
        <v>100</v>
      </c>
      <c r="Q21" s="408" t="s">
        <v>100</v>
      </c>
      <c r="R21" s="403" t="s">
        <v>100</v>
      </c>
      <c r="S21" s="408" t="s">
        <v>100</v>
      </c>
      <c r="T21" s="403" t="s">
        <v>100</v>
      </c>
      <c r="U21" s="408" t="s">
        <v>100</v>
      </c>
      <c r="V21" s="403" t="s">
        <v>100</v>
      </c>
      <c r="W21" s="408" t="s">
        <v>100</v>
      </c>
      <c r="X21" s="126">
        <v>1</v>
      </c>
      <c r="Y21" s="127">
        <v>1</v>
      </c>
      <c r="Z21" s="126">
        <v>1</v>
      </c>
      <c r="AA21" s="127">
        <v>1</v>
      </c>
      <c r="AB21" s="126">
        <v>1</v>
      </c>
      <c r="AC21" s="127">
        <v>1</v>
      </c>
      <c r="AD21" s="126">
        <v>1</v>
      </c>
      <c r="AE21" s="127">
        <v>1</v>
      </c>
      <c r="AF21" s="275">
        <v>1</v>
      </c>
      <c r="AG21" s="292" t="s">
        <v>22</v>
      </c>
      <c r="AH21" s="293" t="s">
        <v>273</v>
      </c>
    </row>
    <row r="22" spans="1:34" ht="39.950000000000003" customHeight="1" x14ac:dyDescent="0.25">
      <c r="A22" s="465">
        <f t="shared" si="0"/>
        <v>9</v>
      </c>
      <c r="B22" s="461">
        <v>44348</v>
      </c>
      <c r="C22" s="466" t="s">
        <v>158</v>
      </c>
      <c r="D22" s="468" t="s">
        <v>22</v>
      </c>
      <c r="E22" s="37" t="s">
        <v>22</v>
      </c>
      <c r="F22" s="563" t="s">
        <v>104</v>
      </c>
      <c r="G22" s="37" t="s">
        <v>22</v>
      </c>
      <c r="H22" s="40" t="s">
        <v>22</v>
      </c>
      <c r="I22" s="37" t="s">
        <v>22</v>
      </c>
      <c r="J22" s="41" t="s">
        <v>22</v>
      </c>
      <c r="K22" s="293" t="s">
        <v>22</v>
      </c>
      <c r="L22" s="563" t="s">
        <v>104</v>
      </c>
      <c r="M22" s="564" t="s">
        <v>104</v>
      </c>
      <c r="N22" s="403" t="s">
        <v>104</v>
      </c>
      <c r="O22" s="408" t="s">
        <v>104</v>
      </c>
      <c r="P22" s="403" t="s">
        <v>104</v>
      </c>
      <c r="Q22" s="408" t="s">
        <v>104</v>
      </c>
      <c r="R22" s="403" t="s">
        <v>104</v>
      </c>
      <c r="S22" s="408" t="s">
        <v>104</v>
      </c>
      <c r="T22" s="403" t="s">
        <v>104</v>
      </c>
      <c r="U22" s="408" t="s">
        <v>104</v>
      </c>
      <c r="V22" s="403" t="s">
        <v>104</v>
      </c>
      <c r="W22" s="408" t="s">
        <v>104</v>
      </c>
      <c r="X22" s="126">
        <v>1</v>
      </c>
      <c r="Y22" s="127">
        <v>1</v>
      </c>
      <c r="Z22" s="126">
        <v>1</v>
      </c>
      <c r="AA22" s="127">
        <v>1</v>
      </c>
      <c r="AB22" s="126">
        <v>1</v>
      </c>
      <c r="AC22" s="127">
        <v>1</v>
      </c>
      <c r="AD22" s="126">
        <v>1</v>
      </c>
      <c r="AE22" s="127">
        <v>1</v>
      </c>
      <c r="AF22" s="275">
        <v>1</v>
      </c>
      <c r="AG22" s="292" t="s">
        <v>22</v>
      </c>
      <c r="AH22" s="293" t="s">
        <v>273</v>
      </c>
    </row>
    <row r="23" spans="1:34" ht="39.950000000000003" customHeight="1" x14ac:dyDescent="0.25">
      <c r="A23" s="465">
        <f t="shared" si="0"/>
        <v>10</v>
      </c>
      <c r="B23" s="461">
        <v>44378</v>
      </c>
      <c r="C23" s="466" t="s">
        <v>555</v>
      </c>
      <c r="D23" s="468" t="s">
        <v>22</v>
      </c>
      <c r="E23" s="37" t="s">
        <v>22</v>
      </c>
      <c r="F23" s="563" t="s">
        <v>100</v>
      </c>
      <c r="G23" s="37" t="s">
        <v>22</v>
      </c>
      <c r="H23" s="40" t="s">
        <v>22</v>
      </c>
      <c r="I23" s="37" t="s">
        <v>22</v>
      </c>
      <c r="J23" s="41" t="s">
        <v>22</v>
      </c>
      <c r="K23" s="293" t="s">
        <v>22</v>
      </c>
      <c r="L23" s="563" t="s">
        <v>100</v>
      </c>
      <c r="M23" s="564" t="s">
        <v>100</v>
      </c>
      <c r="N23" s="403" t="s">
        <v>100</v>
      </c>
      <c r="O23" s="408" t="s">
        <v>100</v>
      </c>
      <c r="P23" s="403" t="s">
        <v>100</v>
      </c>
      <c r="Q23" s="408" t="s">
        <v>100</v>
      </c>
      <c r="R23" s="403" t="s">
        <v>100</v>
      </c>
      <c r="S23" s="408" t="s">
        <v>100</v>
      </c>
      <c r="T23" s="403" t="s">
        <v>100</v>
      </c>
      <c r="U23" s="408" t="s">
        <v>100</v>
      </c>
      <c r="V23" s="403" t="s">
        <v>100</v>
      </c>
      <c r="W23" s="408" t="s">
        <v>100</v>
      </c>
      <c r="X23" s="126">
        <v>1</v>
      </c>
      <c r="Y23" s="127">
        <v>1</v>
      </c>
      <c r="Z23" s="126">
        <v>1</v>
      </c>
      <c r="AA23" s="127">
        <v>1</v>
      </c>
      <c r="AB23" s="126">
        <v>1</v>
      </c>
      <c r="AC23" s="127">
        <v>1</v>
      </c>
      <c r="AD23" s="126">
        <v>1</v>
      </c>
      <c r="AE23" s="127">
        <v>1</v>
      </c>
      <c r="AF23" s="275">
        <v>1</v>
      </c>
      <c r="AG23" s="292" t="s">
        <v>22</v>
      </c>
      <c r="AH23" s="293" t="s">
        <v>273</v>
      </c>
    </row>
    <row r="24" spans="1:34" ht="39.950000000000003" customHeight="1" x14ac:dyDescent="0.25">
      <c r="A24" s="465">
        <f t="shared" si="0"/>
        <v>11</v>
      </c>
      <c r="B24" s="461">
        <v>44409</v>
      </c>
      <c r="C24" s="466" t="s">
        <v>158</v>
      </c>
      <c r="D24" s="468" t="s">
        <v>22</v>
      </c>
      <c r="E24" s="37" t="s">
        <v>22</v>
      </c>
      <c r="F24" s="563" t="s">
        <v>100</v>
      </c>
      <c r="G24" s="37" t="s">
        <v>22</v>
      </c>
      <c r="H24" s="40" t="s">
        <v>22</v>
      </c>
      <c r="I24" s="37" t="s">
        <v>22</v>
      </c>
      <c r="J24" s="41" t="s">
        <v>22</v>
      </c>
      <c r="K24" s="293" t="s">
        <v>22</v>
      </c>
      <c r="L24" s="563" t="s">
        <v>100</v>
      </c>
      <c r="M24" s="564" t="s">
        <v>100</v>
      </c>
      <c r="N24" s="403" t="s">
        <v>100</v>
      </c>
      <c r="O24" s="408" t="s">
        <v>100</v>
      </c>
      <c r="P24" s="403" t="s">
        <v>100</v>
      </c>
      <c r="Q24" s="408" t="s">
        <v>100</v>
      </c>
      <c r="R24" s="403" t="s">
        <v>100</v>
      </c>
      <c r="S24" s="408" t="s">
        <v>100</v>
      </c>
      <c r="T24" s="403" t="s">
        <v>100</v>
      </c>
      <c r="U24" s="408" t="s">
        <v>100</v>
      </c>
      <c r="V24" s="403" t="s">
        <v>100</v>
      </c>
      <c r="W24" s="408" t="s">
        <v>100</v>
      </c>
      <c r="X24" s="126">
        <v>1</v>
      </c>
      <c r="Y24" s="127">
        <v>1</v>
      </c>
      <c r="Z24" s="126">
        <v>1</v>
      </c>
      <c r="AA24" s="127">
        <v>1</v>
      </c>
      <c r="AB24" s="126">
        <v>1</v>
      </c>
      <c r="AC24" s="127">
        <v>1</v>
      </c>
      <c r="AD24" s="126">
        <v>1</v>
      </c>
      <c r="AE24" s="127">
        <v>1</v>
      </c>
      <c r="AF24" s="275">
        <v>1</v>
      </c>
      <c r="AG24" s="292" t="s">
        <v>22</v>
      </c>
      <c r="AH24" s="293" t="s">
        <v>273</v>
      </c>
    </row>
    <row r="25" spans="1:34" ht="39.950000000000003" customHeight="1" x14ac:dyDescent="0.25">
      <c r="A25" s="465">
        <f t="shared" si="0"/>
        <v>12</v>
      </c>
      <c r="B25" s="461">
        <v>44440</v>
      </c>
      <c r="C25" s="466" t="s">
        <v>555</v>
      </c>
      <c r="D25" s="468" t="s">
        <v>22</v>
      </c>
      <c r="E25" s="37" t="s">
        <v>22</v>
      </c>
      <c r="F25" s="563" t="s">
        <v>104</v>
      </c>
      <c r="G25" s="37" t="s">
        <v>22</v>
      </c>
      <c r="H25" s="40" t="s">
        <v>22</v>
      </c>
      <c r="I25" s="37" t="s">
        <v>22</v>
      </c>
      <c r="J25" s="41" t="s">
        <v>22</v>
      </c>
      <c r="K25" s="293" t="s">
        <v>22</v>
      </c>
      <c r="L25" s="563" t="s">
        <v>104</v>
      </c>
      <c r="M25" s="564" t="s">
        <v>104</v>
      </c>
      <c r="N25" s="403" t="s">
        <v>104</v>
      </c>
      <c r="O25" s="408" t="s">
        <v>104</v>
      </c>
      <c r="P25" s="403" t="s">
        <v>104</v>
      </c>
      <c r="Q25" s="408" t="s">
        <v>104</v>
      </c>
      <c r="R25" s="403" t="s">
        <v>104</v>
      </c>
      <c r="S25" s="408" t="s">
        <v>104</v>
      </c>
      <c r="T25" s="403" t="s">
        <v>104</v>
      </c>
      <c r="U25" s="408" t="s">
        <v>104</v>
      </c>
      <c r="V25" s="403" t="s">
        <v>104</v>
      </c>
      <c r="W25" s="408" t="s">
        <v>104</v>
      </c>
      <c r="X25" s="126">
        <v>1</v>
      </c>
      <c r="Y25" s="127">
        <v>1</v>
      </c>
      <c r="Z25" s="126">
        <v>1</v>
      </c>
      <c r="AA25" s="127">
        <v>1</v>
      </c>
      <c r="AB25" s="126">
        <v>1</v>
      </c>
      <c r="AC25" s="127">
        <v>1</v>
      </c>
      <c r="AD25" s="126">
        <v>1</v>
      </c>
      <c r="AE25" s="127">
        <v>1</v>
      </c>
      <c r="AF25" s="275">
        <v>1</v>
      </c>
      <c r="AG25" s="292" t="s">
        <v>22</v>
      </c>
      <c r="AH25" s="293" t="s">
        <v>273</v>
      </c>
    </row>
    <row r="26" spans="1:34" ht="39.950000000000003" customHeight="1" x14ac:dyDescent="0.25">
      <c r="A26" s="465">
        <f t="shared" si="0"/>
        <v>13</v>
      </c>
      <c r="B26" s="461">
        <v>44105</v>
      </c>
      <c r="C26" s="466" t="s">
        <v>162</v>
      </c>
      <c r="D26" s="468" t="s">
        <v>22</v>
      </c>
      <c r="E26" s="37" t="s">
        <v>22</v>
      </c>
      <c r="F26" s="563" t="s">
        <v>100</v>
      </c>
      <c r="G26" s="37" t="s">
        <v>22</v>
      </c>
      <c r="H26" s="40" t="s">
        <v>22</v>
      </c>
      <c r="I26" s="37" t="s">
        <v>22</v>
      </c>
      <c r="J26" s="41" t="s">
        <v>22</v>
      </c>
      <c r="K26" s="293" t="s">
        <v>22</v>
      </c>
      <c r="L26" s="563" t="s">
        <v>100</v>
      </c>
      <c r="M26" s="564" t="s">
        <v>100</v>
      </c>
      <c r="N26" s="403" t="s">
        <v>100</v>
      </c>
      <c r="O26" s="408" t="s">
        <v>100</v>
      </c>
      <c r="P26" s="403" t="s">
        <v>100</v>
      </c>
      <c r="Q26" s="408" t="s">
        <v>100</v>
      </c>
      <c r="R26" s="403" t="s">
        <v>100</v>
      </c>
      <c r="S26" s="408" t="s">
        <v>100</v>
      </c>
      <c r="T26" s="403" t="s">
        <v>100</v>
      </c>
      <c r="U26" s="408" t="s">
        <v>100</v>
      </c>
      <c r="V26" s="403" t="s">
        <v>100</v>
      </c>
      <c r="W26" s="408" t="s">
        <v>100</v>
      </c>
      <c r="X26" s="126">
        <v>1</v>
      </c>
      <c r="Y26" s="127">
        <v>1</v>
      </c>
      <c r="Z26" s="126">
        <v>1</v>
      </c>
      <c r="AA26" s="127">
        <v>1</v>
      </c>
      <c r="AB26" s="126">
        <v>1</v>
      </c>
      <c r="AC26" s="127">
        <v>1</v>
      </c>
      <c r="AD26" s="126">
        <v>1</v>
      </c>
      <c r="AE26" s="127">
        <v>1</v>
      </c>
      <c r="AF26" s="275">
        <v>1</v>
      </c>
      <c r="AG26" s="292" t="s">
        <v>22</v>
      </c>
      <c r="AH26" s="293" t="s">
        <v>22</v>
      </c>
    </row>
    <row r="27" spans="1:34" ht="39.950000000000003" customHeight="1" x14ac:dyDescent="0.25">
      <c r="A27" s="465">
        <f t="shared" si="0"/>
        <v>14</v>
      </c>
      <c r="B27" s="461">
        <v>44136</v>
      </c>
      <c r="C27" s="466" t="s">
        <v>164</v>
      </c>
      <c r="D27" s="468" t="s">
        <v>22</v>
      </c>
      <c r="E27" s="37" t="s">
        <v>22</v>
      </c>
      <c r="F27" s="563" t="s">
        <v>104</v>
      </c>
      <c r="G27" s="37" t="s">
        <v>22</v>
      </c>
      <c r="H27" s="40" t="s">
        <v>22</v>
      </c>
      <c r="I27" s="37" t="s">
        <v>22</v>
      </c>
      <c r="J27" s="41" t="s">
        <v>22</v>
      </c>
      <c r="K27" s="293" t="s">
        <v>22</v>
      </c>
      <c r="L27" s="563" t="s">
        <v>104</v>
      </c>
      <c r="M27" s="564" t="s">
        <v>104</v>
      </c>
      <c r="N27" s="403" t="s">
        <v>104</v>
      </c>
      <c r="O27" s="408" t="s">
        <v>104</v>
      </c>
      <c r="P27" s="403" t="s">
        <v>104</v>
      </c>
      <c r="Q27" s="408" t="s">
        <v>104</v>
      </c>
      <c r="R27" s="403" t="s">
        <v>104</v>
      </c>
      <c r="S27" s="408" t="s">
        <v>104</v>
      </c>
      <c r="T27" s="403" t="s">
        <v>104</v>
      </c>
      <c r="U27" s="408" t="s">
        <v>104</v>
      </c>
      <c r="V27" s="403" t="s">
        <v>104</v>
      </c>
      <c r="W27" s="408" t="s">
        <v>104</v>
      </c>
      <c r="X27" s="126">
        <v>1</v>
      </c>
      <c r="Y27" s="127">
        <v>1</v>
      </c>
      <c r="Z27" s="126">
        <v>1</v>
      </c>
      <c r="AA27" s="127">
        <v>1</v>
      </c>
      <c r="AB27" s="126">
        <v>1</v>
      </c>
      <c r="AC27" s="127">
        <v>1</v>
      </c>
      <c r="AD27" s="126">
        <v>1</v>
      </c>
      <c r="AE27" s="127">
        <v>1</v>
      </c>
      <c r="AF27" s="275">
        <v>1</v>
      </c>
      <c r="AG27" s="292" t="s">
        <v>22</v>
      </c>
      <c r="AH27" s="293" t="s">
        <v>22</v>
      </c>
    </row>
    <row r="28" spans="1:34" ht="39.950000000000003" customHeight="1" x14ac:dyDescent="0.25">
      <c r="A28" s="465">
        <f t="shared" si="0"/>
        <v>15</v>
      </c>
      <c r="B28" s="461">
        <v>44166</v>
      </c>
      <c r="C28" s="466" t="s">
        <v>158</v>
      </c>
      <c r="D28" s="468" t="s">
        <v>22</v>
      </c>
      <c r="E28" s="37" t="s">
        <v>22</v>
      </c>
      <c r="F28" s="563" t="s">
        <v>100</v>
      </c>
      <c r="G28" s="37" t="s">
        <v>22</v>
      </c>
      <c r="H28" s="40" t="s">
        <v>22</v>
      </c>
      <c r="I28" s="37" t="s">
        <v>22</v>
      </c>
      <c r="J28" s="41" t="s">
        <v>22</v>
      </c>
      <c r="K28" s="293" t="s">
        <v>22</v>
      </c>
      <c r="L28" s="563" t="s">
        <v>100</v>
      </c>
      <c r="M28" s="564" t="s">
        <v>100</v>
      </c>
      <c r="N28" s="403" t="s">
        <v>100</v>
      </c>
      <c r="O28" s="408" t="s">
        <v>100</v>
      </c>
      <c r="P28" s="403" t="s">
        <v>100</v>
      </c>
      <c r="Q28" s="408" t="s">
        <v>100</v>
      </c>
      <c r="R28" s="403" t="s">
        <v>100</v>
      </c>
      <c r="S28" s="408" t="s">
        <v>100</v>
      </c>
      <c r="T28" s="403" t="s">
        <v>100</v>
      </c>
      <c r="U28" s="408" t="s">
        <v>100</v>
      </c>
      <c r="V28" s="403" t="s">
        <v>100</v>
      </c>
      <c r="W28" s="408" t="s">
        <v>100</v>
      </c>
      <c r="X28" s="126">
        <v>1</v>
      </c>
      <c r="Y28" s="127">
        <v>1</v>
      </c>
      <c r="Z28" s="126">
        <v>1</v>
      </c>
      <c r="AA28" s="127">
        <v>1</v>
      </c>
      <c r="AB28" s="126">
        <v>1</v>
      </c>
      <c r="AC28" s="127">
        <v>1</v>
      </c>
      <c r="AD28" s="126">
        <v>1</v>
      </c>
      <c r="AE28" s="127">
        <v>1</v>
      </c>
      <c r="AF28" s="275">
        <v>1</v>
      </c>
      <c r="AG28" s="292" t="s">
        <v>22</v>
      </c>
      <c r="AH28" s="293" t="s">
        <v>273</v>
      </c>
    </row>
    <row r="29" spans="1:34" ht="39.950000000000003" customHeight="1" x14ac:dyDescent="0.25">
      <c r="A29" s="465">
        <f t="shared" si="0"/>
        <v>16</v>
      </c>
      <c r="B29" s="461">
        <v>44197</v>
      </c>
      <c r="C29" s="466" t="s">
        <v>555</v>
      </c>
      <c r="D29" s="468" t="s">
        <v>22</v>
      </c>
      <c r="E29" s="37" t="s">
        <v>22</v>
      </c>
      <c r="F29" s="563" t="s">
        <v>104</v>
      </c>
      <c r="G29" s="37" t="s">
        <v>22</v>
      </c>
      <c r="H29" s="40" t="s">
        <v>22</v>
      </c>
      <c r="I29" s="37" t="s">
        <v>22</v>
      </c>
      <c r="J29" s="41" t="s">
        <v>22</v>
      </c>
      <c r="K29" s="293" t="s">
        <v>22</v>
      </c>
      <c r="L29" s="563" t="s">
        <v>104</v>
      </c>
      <c r="M29" s="564" t="s">
        <v>104</v>
      </c>
      <c r="N29" s="403" t="s">
        <v>104</v>
      </c>
      <c r="O29" s="408" t="s">
        <v>104</v>
      </c>
      <c r="P29" s="403" t="s">
        <v>104</v>
      </c>
      <c r="Q29" s="408" t="s">
        <v>104</v>
      </c>
      <c r="R29" s="403" t="s">
        <v>104</v>
      </c>
      <c r="S29" s="408" t="s">
        <v>104</v>
      </c>
      <c r="T29" s="403" t="s">
        <v>104</v>
      </c>
      <c r="U29" s="408" t="s">
        <v>104</v>
      </c>
      <c r="V29" s="403" t="s">
        <v>104</v>
      </c>
      <c r="W29" s="408" t="s">
        <v>104</v>
      </c>
      <c r="X29" s="126">
        <v>1</v>
      </c>
      <c r="Y29" s="127">
        <v>1</v>
      </c>
      <c r="Z29" s="126">
        <v>1</v>
      </c>
      <c r="AA29" s="127">
        <v>1</v>
      </c>
      <c r="AB29" s="126">
        <v>1</v>
      </c>
      <c r="AC29" s="127">
        <v>1</v>
      </c>
      <c r="AD29" s="126">
        <v>1</v>
      </c>
      <c r="AE29" s="127">
        <v>1</v>
      </c>
      <c r="AF29" s="275">
        <v>1</v>
      </c>
      <c r="AG29" s="292" t="s">
        <v>22</v>
      </c>
      <c r="AH29" s="293" t="s">
        <v>273</v>
      </c>
    </row>
    <row r="30" spans="1:34" ht="39.950000000000003" customHeight="1" x14ac:dyDescent="0.25">
      <c r="A30" s="465">
        <f t="shared" si="0"/>
        <v>17</v>
      </c>
      <c r="B30" s="461">
        <v>44228</v>
      </c>
      <c r="C30" s="466" t="s">
        <v>162</v>
      </c>
      <c r="D30" s="468" t="s">
        <v>22</v>
      </c>
      <c r="E30" s="37" t="s">
        <v>22</v>
      </c>
      <c r="F30" s="563" t="s">
        <v>100</v>
      </c>
      <c r="G30" s="37" t="s">
        <v>22</v>
      </c>
      <c r="H30" s="40" t="s">
        <v>22</v>
      </c>
      <c r="I30" s="37" t="s">
        <v>22</v>
      </c>
      <c r="J30" s="41" t="s">
        <v>22</v>
      </c>
      <c r="K30" s="293" t="s">
        <v>22</v>
      </c>
      <c r="L30" s="563" t="s">
        <v>100</v>
      </c>
      <c r="M30" s="564" t="s">
        <v>100</v>
      </c>
      <c r="N30" s="403" t="s">
        <v>100</v>
      </c>
      <c r="O30" s="408" t="s">
        <v>100</v>
      </c>
      <c r="P30" s="403" t="s">
        <v>100</v>
      </c>
      <c r="Q30" s="408" t="s">
        <v>100</v>
      </c>
      <c r="R30" s="403" t="s">
        <v>100</v>
      </c>
      <c r="S30" s="408" t="s">
        <v>100</v>
      </c>
      <c r="T30" s="403" t="s">
        <v>100</v>
      </c>
      <c r="U30" s="408" t="s">
        <v>100</v>
      </c>
      <c r="V30" s="403" t="s">
        <v>100</v>
      </c>
      <c r="W30" s="408" t="s">
        <v>100</v>
      </c>
      <c r="X30" s="126">
        <v>1</v>
      </c>
      <c r="Y30" s="127">
        <v>1</v>
      </c>
      <c r="Z30" s="126">
        <v>1</v>
      </c>
      <c r="AA30" s="127">
        <v>1</v>
      </c>
      <c r="AB30" s="126">
        <v>1</v>
      </c>
      <c r="AC30" s="127">
        <v>1</v>
      </c>
      <c r="AD30" s="126">
        <v>1</v>
      </c>
      <c r="AE30" s="127">
        <v>1</v>
      </c>
      <c r="AF30" s="275">
        <v>1</v>
      </c>
      <c r="AG30" s="292" t="s">
        <v>22</v>
      </c>
      <c r="AH30" s="293" t="s">
        <v>273</v>
      </c>
    </row>
    <row r="31" spans="1:34" ht="39.950000000000003" customHeight="1" x14ac:dyDescent="0.25">
      <c r="A31" s="465">
        <f t="shared" si="0"/>
        <v>18</v>
      </c>
      <c r="B31" s="461">
        <v>44256</v>
      </c>
      <c r="C31" s="466" t="s">
        <v>164</v>
      </c>
      <c r="D31" s="468" t="s">
        <v>22</v>
      </c>
      <c r="E31" s="37" t="s">
        <v>22</v>
      </c>
      <c r="F31" s="563" t="s">
        <v>100</v>
      </c>
      <c r="G31" s="37" t="s">
        <v>22</v>
      </c>
      <c r="H31" s="40" t="s">
        <v>22</v>
      </c>
      <c r="I31" s="37" t="s">
        <v>22</v>
      </c>
      <c r="J31" s="41" t="s">
        <v>22</v>
      </c>
      <c r="K31" s="293" t="s">
        <v>22</v>
      </c>
      <c r="L31" s="563" t="s">
        <v>100</v>
      </c>
      <c r="M31" s="564" t="s">
        <v>100</v>
      </c>
      <c r="N31" s="403" t="s">
        <v>100</v>
      </c>
      <c r="O31" s="408" t="s">
        <v>100</v>
      </c>
      <c r="P31" s="403" t="s">
        <v>100</v>
      </c>
      <c r="Q31" s="408" t="s">
        <v>100</v>
      </c>
      <c r="R31" s="403" t="s">
        <v>100</v>
      </c>
      <c r="S31" s="408" t="s">
        <v>100</v>
      </c>
      <c r="T31" s="403" t="s">
        <v>100</v>
      </c>
      <c r="U31" s="408" t="s">
        <v>100</v>
      </c>
      <c r="V31" s="403" t="s">
        <v>100</v>
      </c>
      <c r="W31" s="408" t="s">
        <v>100</v>
      </c>
      <c r="X31" s="126">
        <v>1</v>
      </c>
      <c r="Y31" s="127">
        <v>1</v>
      </c>
      <c r="Z31" s="126">
        <v>1</v>
      </c>
      <c r="AA31" s="127">
        <v>1</v>
      </c>
      <c r="AB31" s="126">
        <v>1</v>
      </c>
      <c r="AC31" s="127">
        <v>1</v>
      </c>
      <c r="AD31" s="126">
        <v>1</v>
      </c>
      <c r="AE31" s="127">
        <v>1</v>
      </c>
      <c r="AF31" s="275">
        <v>1</v>
      </c>
      <c r="AG31" s="292" t="s">
        <v>22</v>
      </c>
      <c r="AH31" s="293" t="s">
        <v>273</v>
      </c>
    </row>
    <row r="32" spans="1:34" ht="39.950000000000003" customHeight="1" x14ac:dyDescent="0.25">
      <c r="A32" s="465">
        <f t="shared" si="0"/>
        <v>19</v>
      </c>
      <c r="B32" s="461">
        <v>44287</v>
      </c>
      <c r="C32" s="466" t="s">
        <v>158</v>
      </c>
      <c r="D32" s="468" t="s">
        <v>22</v>
      </c>
      <c r="E32" s="37" t="s">
        <v>22</v>
      </c>
      <c r="F32" s="563" t="s">
        <v>104</v>
      </c>
      <c r="G32" s="37" t="s">
        <v>22</v>
      </c>
      <c r="H32" s="40" t="s">
        <v>22</v>
      </c>
      <c r="I32" s="37" t="s">
        <v>22</v>
      </c>
      <c r="J32" s="41" t="s">
        <v>22</v>
      </c>
      <c r="K32" s="293" t="s">
        <v>22</v>
      </c>
      <c r="L32" s="563" t="s">
        <v>104</v>
      </c>
      <c r="M32" s="564" t="s">
        <v>104</v>
      </c>
      <c r="N32" s="403" t="s">
        <v>104</v>
      </c>
      <c r="O32" s="408" t="s">
        <v>104</v>
      </c>
      <c r="P32" s="403" t="s">
        <v>104</v>
      </c>
      <c r="Q32" s="408" t="s">
        <v>104</v>
      </c>
      <c r="R32" s="403" t="s">
        <v>104</v>
      </c>
      <c r="S32" s="408" t="s">
        <v>104</v>
      </c>
      <c r="T32" s="403" t="s">
        <v>104</v>
      </c>
      <c r="U32" s="408" t="s">
        <v>104</v>
      </c>
      <c r="V32" s="403" t="s">
        <v>104</v>
      </c>
      <c r="W32" s="408" t="s">
        <v>104</v>
      </c>
      <c r="X32" s="126">
        <v>1</v>
      </c>
      <c r="Y32" s="127">
        <v>1</v>
      </c>
      <c r="Z32" s="126">
        <v>1</v>
      </c>
      <c r="AA32" s="127">
        <v>1</v>
      </c>
      <c r="AB32" s="126">
        <v>1</v>
      </c>
      <c r="AC32" s="127">
        <v>1</v>
      </c>
      <c r="AD32" s="126">
        <v>1</v>
      </c>
      <c r="AE32" s="127">
        <v>1</v>
      </c>
      <c r="AF32" s="275">
        <v>1</v>
      </c>
      <c r="AG32" s="292" t="s">
        <v>22</v>
      </c>
      <c r="AH32" s="293" t="s">
        <v>273</v>
      </c>
    </row>
    <row r="33" spans="1:34" ht="39.950000000000003" customHeight="1" x14ac:dyDescent="0.25">
      <c r="A33" s="465">
        <f t="shared" si="0"/>
        <v>20</v>
      </c>
      <c r="B33" s="461">
        <v>44317</v>
      </c>
      <c r="C33" s="466" t="s">
        <v>555</v>
      </c>
      <c r="D33" s="468" t="s">
        <v>22</v>
      </c>
      <c r="E33" s="37" t="s">
        <v>22</v>
      </c>
      <c r="F33" s="563" t="s">
        <v>100</v>
      </c>
      <c r="G33" s="37" t="s">
        <v>22</v>
      </c>
      <c r="H33" s="40" t="s">
        <v>22</v>
      </c>
      <c r="I33" s="37" t="s">
        <v>22</v>
      </c>
      <c r="J33" s="41" t="s">
        <v>22</v>
      </c>
      <c r="K33" s="293" t="s">
        <v>22</v>
      </c>
      <c r="L33" s="563" t="s">
        <v>100</v>
      </c>
      <c r="M33" s="564" t="s">
        <v>100</v>
      </c>
      <c r="N33" s="403" t="s">
        <v>100</v>
      </c>
      <c r="O33" s="408" t="s">
        <v>100</v>
      </c>
      <c r="P33" s="403" t="s">
        <v>100</v>
      </c>
      <c r="Q33" s="408" t="s">
        <v>100</v>
      </c>
      <c r="R33" s="403" t="s">
        <v>100</v>
      </c>
      <c r="S33" s="408" t="s">
        <v>100</v>
      </c>
      <c r="T33" s="403" t="s">
        <v>100</v>
      </c>
      <c r="U33" s="408" t="s">
        <v>100</v>
      </c>
      <c r="V33" s="403" t="s">
        <v>100</v>
      </c>
      <c r="W33" s="408" t="s">
        <v>100</v>
      </c>
      <c r="X33" s="126">
        <v>1</v>
      </c>
      <c r="Y33" s="127">
        <v>1</v>
      </c>
      <c r="Z33" s="126">
        <v>1</v>
      </c>
      <c r="AA33" s="127">
        <v>1</v>
      </c>
      <c r="AB33" s="126">
        <v>1</v>
      </c>
      <c r="AC33" s="127">
        <v>1</v>
      </c>
      <c r="AD33" s="126">
        <v>1</v>
      </c>
      <c r="AE33" s="127">
        <v>1</v>
      </c>
      <c r="AF33" s="275">
        <v>1</v>
      </c>
      <c r="AG33" s="292" t="s">
        <v>22</v>
      </c>
      <c r="AH33" s="293" t="s">
        <v>22</v>
      </c>
    </row>
    <row r="34" spans="1:34" ht="39.950000000000003" customHeight="1" x14ac:dyDescent="0.25">
      <c r="A34" s="465">
        <f t="shared" si="0"/>
        <v>21</v>
      </c>
      <c r="B34" s="461">
        <v>44348</v>
      </c>
      <c r="C34" s="466" t="s">
        <v>158</v>
      </c>
      <c r="D34" s="468" t="s">
        <v>22</v>
      </c>
      <c r="E34" s="37" t="s">
        <v>22</v>
      </c>
      <c r="F34" s="563" t="s">
        <v>100</v>
      </c>
      <c r="G34" s="37" t="s">
        <v>22</v>
      </c>
      <c r="H34" s="40" t="s">
        <v>22</v>
      </c>
      <c r="I34" s="37" t="s">
        <v>22</v>
      </c>
      <c r="J34" s="41" t="s">
        <v>22</v>
      </c>
      <c r="K34" s="293" t="s">
        <v>22</v>
      </c>
      <c r="L34" s="563" t="s">
        <v>100</v>
      </c>
      <c r="M34" s="564" t="s">
        <v>100</v>
      </c>
      <c r="N34" s="403" t="s">
        <v>100</v>
      </c>
      <c r="O34" s="408" t="s">
        <v>100</v>
      </c>
      <c r="P34" s="403" t="s">
        <v>100</v>
      </c>
      <c r="Q34" s="408" t="s">
        <v>100</v>
      </c>
      <c r="R34" s="403" t="s">
        <v>100</v>
      </c>
      <c r="S34" s="408" t="s">
        <v>100</v>
      </c>
      <c r="T34" s="403" t="s">
        <v>100</v>
      </c>
      <c r="U34" s="408" t="s">
        <v>100</v>
      </c>
      <c r="V34" s="403" t="s">
        <v>100</v>
      </c>
      <c r="W34" s="408" t="s">
        <v>100</v>
      </c>
      <c r="X34" s="126">
        <v>1</v>
      </c>
      <c r="Y34" s="127">
        <v>1</v>
      </c>
      <c r="Z34" s="126">
        <v>1</v>
      </c>
      <c r="AA34" s="127">
        <v>1</v>
      </c>
      <c r="AB34" s="126">
        <v>1</v>
      </c>
      <c r="AC34" s="127">
        <v>1</v>
      </c>
      <c r="AD34" s="126">
        <v>1</v>
      </c>
      <c r="AE34" s="127">
        <v>1</v>
      </c>
      <c r="AF34" s="275">
        <v>1</v>
      </c>
      <c r="AG34" s="292" t="s">
        <v>22</v>
      </c>
      <c r="AH34" s="293" t="s">
        <v>22</v>
      </c>
    </row>
    <row r="35" spans="1:34" ht="39.950000000000003" customHeight="1" x14ac:dyDescent="0.25">
      <c r="A35" s="465">
        <f t="shared" si="0"/>
        <v>22</v>
      </c>
      <c r="B35" s="461">
        <v>44378</v>
      </c>
      <c r="C35" s="466" t="s">
        <v>555</v>
      </c>
      <c r="D35" s="468" t="s">
        <v>22</v>
      </c>
      <c r="E35" s="37" t="s">
        <v>22</v>
      </c>
      <c r="F35" s="563" t="s">
        <v>104</v>
      </c>
      <c r="G35" s="37" t="s">
        <v>22</v>
      </c>
      <c r="H35" s="40" t="s">
        <v>22</v>
      </c>
      <c r="I35" s="37" t="s">
        <v>22</v>
      </c>
      <c r="J35" s="41" t="s">
        <v>22</v>
      </c>
      <c r="K35" s="293" t="s">
        <v>22</v>
      </c>
      <c r="L35" s="563" t="s">
        <v>104</v>
      </c>
      <c r="M35" s="564" t="s">
        <v>104</v>
      </c>
      <c r="N35" s="403" t="s">
        <v>104</v>
      </c>
      <c r="O35" s="408" t="s">
        <v>104</v>
      </c>
      <c r="P35" s="403" t="s">
        <v>104</v>
      </c>
      <c r="Q35" s="408" t="s">
        <v>104</v>
      </c>
      <c r="R35" s="403" t="s">
        <v>104</v>
      </c>
      <c r="S35" s="408" t="s">
        <v>104</v>
      </c>
      <c r="T35" s="403" t="s">
        <v>104</v>
      </c>
      <c r="U35" s="408" t="s">
        <v>104</v>
      </c>
      <c r="V35" s="403" t="s">
        <v>104</v>
      </c>
      <c r="W35" s="408" t="s">
        <v>104</v>
      </c>
      <c r="X35" s="126">
        <v>1</v>
      </c>
      <c r="Y35" s="127">
        <v>1</v>
      </c>
      <c r="Z35" s="126">
        <v>1</v>
      </c>
      <c r="AA35" s="127">
        <v>1</v>
      </c>
      <c r="AB35" s="126">
        <v>1</v>
      </c>
      <c r="AC35" s="127">
        <v>1</v>
      </c>
      <c r="AD35" s="126">
        <v>1</v>
      </c>
      <c r="AE35" s="127">
        <v>1</v>
      </c>
      <c r="AF35" s="275">
        <v>1</v>
      </c>
      <c r="AG35" s="292" t="s">
        <v>22</v>
      </c>
      <c r="AH35" s="293" t="s">
        <v>273</v>
      </c>
    </row>
    <row r="36" spans="1:34" ht="39.950000000000003" customHeight="1" x14ac:dyDescent="0.25">
      <c r="A36" s="465">
        <f t="shared" si="0"/>
        <v>23</v>
      </c>
      <c r="B36" s="461">
        <v>44409</v>
      </c>
      <c r="C36" s="466" t="s">
        <v>162</v>
      </c>
      <c r="D36" s="468" t="s">
        <v>22</v>
      </c>
      <c r="E36" s="37" t="s">
        <v>22</v>
      </c>
      <c r="F36" s="563" t="s">
        <v>100</v>
      </c>
      <c r="G36" s="37" t="s">
        <v>22</v>
      </c>
      <c r="H36" s="40" t="s">
        <v>22</v>
      </c>
      <c r="I36" s="37" t="s">
        <v>22</v>
      </c>
      <c r="J36" s="41" t="s">
        <v>22</v>
      </c>
      <c r="K36" s="293" t="s">
        <v>22</v>
      </c>
      <c r="L36" s="563" t="s">
        <v>100</v>
      </c>
      <c r="M36" s="564" t="s">
        <v>100</v>
      </c>
      <c r="N36" s="403" t="s">
        <v>100</v>
      </c>
      <c r="O36" s="408" t="s">
        <v>100</v>
      </c>
      <c r="P36" s="403" t="s">
        <v>100</v>
      </c>
      <c r="Q36" s="408" t="s">
        <v>100</v>
      </c>
      <c r="R36" s="403" t="s">
        <v>100</v>
      </c>
      <c r="S36" s="408" t="s">
        <v>100</v>
      </c>
      <c r="T36" s="403" t="s">
        <v>100</v>
      </c>
      <c r="U36" s="408" t="s">
        <v>100</v>
      </c>
      <c r="V36" s="403" t="s">
        <v>100</v>
      </c>
      <c r="W36" s="408" t="s">
        <v>100</v>
      </c>
      <c r="X36" s="126">
        <v>1</v>
      </c>
      <c r="Y36" s="127">
        <v>1</v>
      </c>
      <c r="Z36" s="126">
        <v>1</v>
      </c>
      <c r="AA36" s="127">
        <v>1</v>
      </c>
      <c r="AB36" s="126">
        <v>1</v>
      </c>
      <c r="AC36" s="127">
        <v>1</v>
      </c>
      <c r="AD36" s="126">
        <v>1</v>
      </c>
      <c r="AE36" s="127">
        <v>1</v>
      </c>
      <c r="AF36" s="275">
        <v>1</v>
      </c>
      <c r="AG36" s="292" t="s">
        <v>22</v>
      </c>
      <c r="AH36" s="293" t="s">
        <v>273</v>
      </c>
    </row>
    <row r="37" spans="1:34" ht="39.950000000000003" customHeight="1" x14ac:dyDescent="0.25">
      <c r="A37" s="465">
        <f t="shared" si="0"/>
        <v>24</v>
      </c>
      <c r="B37" s="461">
        <v>44440</v>
      </c>
      <c r="C37" s="466" t="s">
        <v>164</v>
      </c>
      <c r="D37" s="468" t="s">
        <v>22</v>
      </c>
      <c r="E37" s="37" t="s">
        <v>22</v>
      </c>
      <c r="F37" s="563" t="s">
        <v>104</v>
      </c>
      <c r="G37" s="37" t="s">
        <v>22</v>
      </c>
      <c r="H37" s="40" t="s">
        <v>22</v>
      </c>
      <c r="I37" s="37" t="s">
        <v>22</v>
      </c>
      <c r="J37" s="41" t="s">
        <v>22</v>
      </c>
      <c r="K37" s="293" t="s">
        <v>22</v>
      </c>
      <c r="L37" s="563" t="s">
        <v>104</v>
      </c>
      <c r="M37" s="564" t="s">
        <v>104</v>
      </c>
      <c r="N37" s="403" t="s">
        <v>104</v>
      </c>
      <c r="O37" s="408" t="s">
        <v>104</v>
      </c>
      <c r="P37" s="403" t="s">
        <v>104</v>
      </c>
      <c r="Q37" s="408" t="s">
        <v>104</v>
      </c>
      <c r="R37" s="403" t="s">
        <v>104</v>
      </c>
      <c r="S37" s="408" t="s">
        <v>104</v>
      </c>
      <c r="T37" s="403" t="s">
        <v>104</v>
      </c>
      <c r="U37" s="408" t="s">
        <v>104</v>
      </c>
      <c r="V37" s="403" t="s">
        <v>104</v>
      </c>
      <c r="W37" s="408" t="s">
        <v>104</v>
      </c>
      <c r="X37" s="126">
        <v>1</v>
      </c>
      <c r="Y37" s="127">
        <v>1</v>
      </c>
      <c r="Z37" s="126">
        <v>1</v>
      </c>
      <c r="AA37" s="127">
        <v>1</v>
      </c>
      <c r="AB37" s="126">
        <v>1</v>
      </c>
      <c r="AC37" s="127">
        <v>1</v>
      </c>
      <c r="AD37" s="126">
        <v>1</v>
      </c>
      <c r="AE37" s="127">
        <v>1</v>
      </c>
      <c r="AF37" s="275">
        <v>1</v>
      </c>
      <c r="AG37" s="292" t="s">
        <v>22</v>
      </c>
      <c r="AH37" s="293" t="s">
        <v>273</v>
      </c>
    </row>
    <row r="38" spans="1:34" ht="39.950000000000003" customHeight="1" x14ac:dyDescent="0.25">
      <c r="A38" s="465">
        <f t="shared" si="0"/>
        <v>25</v>
      </c>
      <c r="B38" s="461">
        <v>44105</v>
      </c>
      <c r="C38" s="466" t="s">
        <v>158</v>
      </c>
      <c r="D38" s="468" t="s">
        <v>22</v>
      </c>
      <c r="E38" s="37" t="s">
        <v>22</v>
      </c>
      <c r="F38" s="563" t="s">
        <v>100</v>
      </c>
      <c r="G38" s="37" t="s">
        <v>22</v>
      </c>
      <c r="H38" s="40" t="s">
        <v>22</v>
      </c>
      <c r="I38" s="37" t="s">
        <v>22</v>
      </c>
      <c r="J38" s="41" t="s">
        <v>22</v>
      </c>
      <c r="K38" s="293" t="s">
        <v>22</v>
      </c>
      <c r="L38" s="563" t="s">
        <v>100</v>
      </c>
      <c r="M38" s="564" t="s">
        <v>100</v>
      </c>
      <c r="N38" s="403" t="s">
        <v>100</v>
      </c>
      <c r="O38" s="408" t="s">
        <v>100</v>
      </c>
      <c r="P38" s="403" t="s">
        <v>100</v>
      </c>
      <c r="Q38" s="408" t="s">
        <v>100</v>
      </c>
      <c r="R38" s="403" t="s">
        <v>100</v>
      </c>
      <c r="S38" s="408" t="s">
        <v>100</v>
      </c>
      <c r="T38" s="403" t="s">
        <v>100</v>
      </c>
      <c r="U38" s="408" t="s">
        <v>100</v>
      </c>
      <c r="V38" s="403" t="s">
        <v>100</v>
      </c>
      <c r="W38" s="408" t="s">
        <v>100</v>
      </c>
      <c r="X38" s="126">
        <v>1</v>
      </c>
      <c r="Y38" s="127">
        <v>1</v>
      </c>
      <c r="Z38" s="126">
        <v>1</v>
      </c>
      <c r="AA38" s="127">
        <v>1</v>
      </c>
      <c r="AB38" s="126">
        <v>1</v>
      </c>
      <c r="AC38" s="127">
        <v>1</v>
      </c>
      <c r="AD38" s="126">
        <v>1</v>
      </c>
      <c r="AE38" s="127">
        <v>1</v>
      </c>
      <c r="AF38" s="275">
        <v>1</v>
      </c>
      <c r="AG38" s="292" t="s">
        <v>22</v>
      </c>
      <c r="AH38" s="293" t="s">
        <v>273</v>
      </c>
    </row>
    <row r="39" spans="1:34" ht="39.950000000000003" customHeight="1" x14ac:dyDescent="0.25">
      <c r="A39" s="465">
        <f t="shared" si="0"/>
        <v>26</v>
      </c>
      <c r="B39" s="461">
        <v>44136</v>
      </c>
      <c r="C39" s="466" t="s">
        <v>555</v>
      </c>
      <c r="D39" s="468" t="s">
        <v>22</v>
      </c>
      <c r="E39" s="37" t="s">
        <v>22</v>
      </c>
      <c r="F39" s="563" t="s">
        <v>104</v>
      </c>
      <c r="G39" s="37" t="s">
        <v>22</v>
      </c>
      <c r="H39" s="40" t="s">
        <v>22</v>
      </c>
      <c r="I39" s="37" t="s">
        <v>22</v>
      </c>
      <c r="J39" s="41" t="s">
        <v>22</v>
      </c>
      <c r="K39" s="293" t="s">
        <v>22</v>
      </c>
      <c r="L39" s="563" t="s">
        <v>104</v>
      </c>
      <c r="M39" s="564" t="s">
        <v>104</v>
      </c>
      <c r="N39" s="403" t="s">
        <v>104</v>
      </c>
      <c r="O39" s="408" t="s">
        <v>104</v>
      </c>
      <c r="P39" s="403" t="s">
        <v>104</v>
      </c>
      <c r="Q39" s="408" t="s">
        <v>104</v>
      </c>
      <c r="R39" s="403" t="s">
        <v>104</v>
      </c>
      <c r="S39" s="408" t="s">
        <v>104</v>
      </c>
      <c r="T39" s="403" t="s">
        <v>104</v>
      </c>
      <c r="U39" s="408" t="s">
        <v>104</v>
      </c>
      <c r="V39" s="403" t="s">
        <v>104</v>
      </c>
      <c r="W39" s="408" t="s">
        <v>104</v>
      </c>
      <c r="X39" s="126">
        <v>1</v>
      </c>
      <c r="Y39" s="127">
        <v>1</v>
      </c>
      <c r="Z39" s="126">
        <v>1</v>
      </c>
      <c r="AA39" s="127">
        <v>1</v>
      </c>
      <c r="AB39" s="126">
        <v>1</v>
      </c>
      <c r="AC39" s="127">
        <v>1</v>
      </c>
      <c r="AD39" s="126">
        <v>1</v>
      </c>
      <c r="AE39" s="127">
        <v>1</v>
      </c>
      <c r="AF39" s="275">
        <v>1</v>
      </c>
      <c r="AG39" s="292" t="s">
        <v>22</v>
      </c>
      <c r="AH39" s="293" t="s">
        <v>273</v>
      </c>
    </row>
    <row r="40" spans="1:34" ht="39.950000000000003" customHeight="1" x14ac:dyDescent="0.25">
      <c r="A40" s="465">
        <f t="shared" si="0"/>
        <v>27</v>
      </c>
      <c r="B40" s="461">
        <v>44166</v>
      </c>
      <c r="C40" s="466" t="s">
        <v>162</v>
      </c>
      <c r="D40" s="468" t="s">
        <v>22</v>
      </c>
      <c r="E40" s="37" t="s">
        <v>22</v>
      </c>
      <c r="F40" s="563" t="s">
        <v>100</v>
      </c>
      <c r="G40" s="37" t="s">
        <v>22</v>
      </c>
      <c r="H40" s="40" t="s">
        <v>22</v>
      </c>
      <c r="I40" s="37" t="s">
        <v>22</v>
      </c>
      <c r="J40" s="41" t="s">
        <v>22</v>
      </c>
      <c r="K40" s="293" t="s">
        <v>22</v>
      </c>
      <c r="L40" s="563" t="s">
        <v>100</v>
      </c>
      <c r="M40" s="564" t="s">
        <v>100</v>
      </c>
      <c r="N40" s="403" t="s">
        <v>100</v>
      </c>
      <c r="O40" s="408" t="s">
        <v>100</v>
      </c>
      <c r="P40" s="403" t="s">
        <v>100</v>
      </c>
      <c r="Q40" s="408" t="s">
        <v>100</v>
      </c>
      <c r="R40" s="403" t="s">
        <v>100</v>
      </c>
      <c r="S40" s="408" t="s">
        <v>100</v>
      </c>
      <c r="T40" s="403" t="s">
        <v>100</v>
      </c>
      <c r="U40" s="408" t="s">
        <v>100</v>
      </c>
      <c r="V40" s="403" t="s">
        <v>100</v>
      </c>
      <c r="W40" s="408" t="s">
        <v>100</v>
      </c>
      <c r="X40" s="126">
        <v>1</v>
      </c>
      <c r="Y40" s="127">
        <v>1</v>
      </c>
      <c r="Z40" s="126">
        <v>1</v>
      </c>
      <c r="AA40" s="127">
        <v>1</v>
      </c>
      <c r="AB40" s="126">
        <v>1</v>
      </c>
      <c r="AC40" s="127">
        <v>1</v>
      </c>
      <c r="AD40" s="126">
        <v>1</v>
      </c>
      <c r="AE40" s="127">
        <v>1</v>
      </c>
      <c r="AF40" s="275">
        <v>1</v>
      </c>
      <c r="AG40" s="292" t="s">
        <v>22</v>
      </c>
      <c r="AH40" s="293" t="s">
        <v>22</v>
      </c>
    </row>
    <row r="41" spans="1:34" ht="39.950000000000003" customHeight="1" x14ac:dyDescent="0.25">
      <c r="A41" s="465">
        <f t="shared" si="0"/>
        <v>28</v>
      </c>
      <c r="B41" s="461">
        <v>44197</v>
      </c>
      <c r="C41" s="466" t="s">
        <v>164</v>
      </c>
      <c r="D41" s="468" t="s">
        <v>22</v>
      </c>
      <c r="E41" s="37" t="s">
        <v>22</v>
      </c>
      <c r="F41" s="563" t="s">
        <v>100</v>
      </c>
      <c r="G41" s="37" t="s">
        <v>22</v>
      </c>
      <c r="H41" s="40" t="s">
        <v>22</v>
      </c>
      <c r="I41" s="37" t="s">
        <v>22</v>
      </c>
      <c r="J41" s="41" t="s">
        <v>22</v>
      </c>
      <c r="K41" s="293" t="s">
        <v>22</v>
      </c>
      <c r="L41" s="563" t="s">
        <v>100</v>
      </c>
      <c r="M41" s="564" t="s">
        <v>100</v>
      </c>
      <c r="N41" s="403" t="s">
        <v>100</v>
      </c>
      <c r="O41" s="408" t="s">
        <v>100</v>
      </c>
      <c r="P41" s="403" t="s">
        <v>100</v>
      </c>
      <c r="Q41" s="408" t="s">
        <v>100</v>
      </c>
      <c r="R41" s="403" t="s">
        <v>100</v>
      </c>
      <c r="S41" s="408" t="s">
        <v>100</v>
      </c>
      <c r="T41" s="403" t="s">
        <v>100</v>
      </c>
      <c r="U41" s="408" t="s">
        <v>100</v>
      </c>
      <c r="V41" s="403" t="s">
        <v>100</v>
      </c>
      <c r="W41" s="408" t="s">
        <v>100</v>
      </c>
      <c r="X41" s="126">
        <v>1</v>
      </c>
      <c r="Y41" s="127">
        <v>1</v>
      </c>
      <c r="Z41" s="126">
        <v>1</v>
      </c>
      <c r="AA41" s="127">
        <v>1</v>
      </c>
      <c r="AB41" s="126">
        <v>1</v>
      </c>
      <c r="AC41" s="127">
        <v>1</v>
      </c>
      <c r="AD41" s="126">
        <v>1</v>
      </c>
      <c r="AE41" s="127">
        <v>1</v>
      </c>
      <c r="AF41" s="275">
        <v>1</v>
      </c>
      <c r="AG41" s="292" t="s">
        <v>22</v>
      </c>
      <c r="AH41" s="293" t="s">
        <v>22</v>
      </c>
    </row>
    <row r="42" spans="1:34" ht="39.950000000000003" customHeight="1" x14ac:dyDescent="0.25">
      <c r="A42" s="465">
        <f t="shared" si="0"/>
        <v>29</v>
      </c>
      <c r="B42" s="461">
        <v>44228</v>
      </c>
      <c r="C42" s="466" t="s">
        <v>158</v>
      </c>
      <c r="D42" s="468" t="s">
        <v>22</v>
      </c>
      <c r="E42" s="37" t="s">
        <v>22</v>
      </c>
      <c r="F42" s="563" t="s">
        <v>104</v>
      </c>
      <c r="G42" s="37" t="s">
        <v>22</v>
      </c>
      <c r="H42" s="40" t="s">
        <v>22</v>
      </c>
      <c r="I42" s="37" t="s">
        <v>22</v>
      </c>
      <c r="J42" s="41" t="s">
        <v>22</v>
      </c>
      <c r="K42" s="293" t="s">
        <v>22</v>
      </c>
      <c r="L42" s="563" t="s">
        <v>104</v>
      </c>
      <c r="M42" s="564" t="s">
        <v>104</v>
      </c>
      <c r="N42" s="403" t="s">
        <v>104</v>
      </c>
      <c r="O42" s="408" t="s">
        <v>104</v>
      </c>
      <c r="P42" s="403" t="s">
        <v>104</v>
      </c>
      <c r="Q42" s="408" t="s">
        <v>104</v>
      </c>
      <c r="R42" s="403" t="s">
        <v>104</v>
      </c>
      <c r="S42" s="408" t="s">
        <v>104</v>
      </c>
      <c r="T42" s="403" t="s">
        <v>104</v>
      </c>
      <c r="U42" s="408" t="s">
        <v>104</v>
      </c>
      <c r="V42" s="403" t="s">
        <v>104</v>
      </c>
      <c r="W42" s="408" t="s">
        <v>104</v>
      </c>
      <c r="X42" s="126">
        <v>1</v>
      </c>
      <c r="Y42" s="127">
        <v>1</v>
      </c>
      <c r="Z42" s="126">
        <v>1</v>
      </c>
      <c r="AA42" s="127">
        <v>1</v>
      </c>
      <c r="AB42" s="126">
        <v>1</v>
      </c>
      <c r="AC42" s="127">
        <v>1</v>
      </c>
      <c r="AD42" s="126">
        <v>1</v>
      </c>
      <c r="AE42" s="127">
        <v>1</v>
      </c>
      <c r="AF42" s="275">
        <v>1</v>
      </c>
      <c r="AG42" s="292" t="s">
        <v>22</v>
      </c>
      <c r="AH42" s="293" t="s">
        <v>273</v>
      </c>
    </row>
    <row r="43" spans="1:34" ht="39.950000000000003" customHeight="1" x14ac:dyDescent="0.25">
      <c r="A43" s="465">
        <f t="shared" si="0"/>
        <v>30</v>
      </c>
      <c r="B43" s="461">
        <v>44256</v>
      </c>
      <c r="C43" s="466" t="s">
        <v>555</v>
      </c>
      <c r="D43" s="468" t="s">
        <v>22</v>
      </c>
      <c r="E43" s="37" t="s">
        <v>22</v>
      </c>
      <c r="F43" s="563" t="s">
        <v>100</v>
      </c>
      <c r="G43" s="37" t="s">
        <v>22</v>
      </c>
      <c r="H43" s="40" t="s">
        <v>22</v>
      </c>
      <c r="I43" s="37" t="s">
        <v>22</v>
      </c>
      <c r="J43" s="41" t="s">
        <v>22</v>
      </c>
      <c r="K43" s="293" t="s">
        <v>22</v>
      </c>
      <c r="L43" s="563" t="s">
        <v>100</v>
      </c>
      <c r="M43" s="564" t="s">
        <v>100</v>
      </c>
      <c r="N43" s="403" t="s">
        <v>100</v>
      </c>
      <c r="O43" s="408" t="s">
        <v>100</v>
      </c>
      <c r="P43" s="403" t="s">
        <v>100</v>
      </c>
      <c r="Q43" s="408" t="s">
        <v>100</v>
      </c>
      <c r="R43" s="403" t="s">
        <v>100</v>
      </c>
      <c r="S43" s="408" t="s">
        <v>100</v>
      </c>
      <c r="T43" s="403" t="s">
        <v>100</v>
      </c>
      <c r="U43" s="408" t="s">
        <v>100</v>
      </c>
      <c r="V43" s="403" t="s">
        <v>100</v>
      </c>
      <c r="W43" s="408" t="s">
        <v>100</v>
      </c>
      <c r="X43" s="126">
        <v>1</v>
      </c>
      <c r="Y43" s="127">
        <v>1</v>
      </c>
      <c r="Z43" s="126">
        <v>1</v>
      </c>
      <c r="AA43" s="127">
        <v>1</v>
      </c>
      <c r="AB43" s="126">
        <v>1</v>
      </c>
      <c r="AC43" s="127">
        <v>1</v>
      </c>
      <c r="AD43" s="126">
        <v>1</v>
      </c>
      <c r="AE43" s="127">
        <v>1</v>
      </c>
      <c r="AF43" s="275">
        <v>1</v>
      </c>
      <c r="AG43" s="292" t="s">
        <v>22</v>
      </c>
      <c r="AH43" s="293" t="s">
        <v>273</v>
      </c>
    </row>
    <row r="44" spans="1:34" ht="39.950000000000003" customHeight="1" x14ac:dyDescent="0.25">
      <c r="A44" s="465">
        <f t="shared" si="0"/>
        <v>31</v>
      </c>
      <c r="B44" s="461">
        <v>44287</v>
      </c>
      <c r="C44" s="466" t="s">
        <v>158</v>
      </c>
      <c r="D44" s="468" t="s">
        <v>22</v>
      </c>
      <c r="E44" s="37" t="s">
        <v>22</v>
      </c>
      <c r="F44" s="563" t="s">
        <v>100</v>
      </c>
      <c r="G44" s="37" t="s">
        <v>22</v>
      </c>
      <c r="H44" s="40" t="s">
        <v>22</v>
      </c>
      <c r="I44" s="37" t="s">
        <v>22</v>
      </c>
      <c r="J44" s="41" t="s">
        <v>22</v>
      </c>
      <c r="K44" s="293" t="s">
        <v>22</v>
      </c>
      <c r="L44" s="563" t="s">
        <v>100</v>
      </c>
      <c r="M44" s="564" t="s">
        <v>100</v>
      </c>
      <c r="N44" s="403" t="s">
        <v>100</v>
      </c>
      <c r="O44" s="408" t="s">
        <v>100</v>
      </c>
      <c r="P44" s="403" t="s">
        <v>100</v>
      </c>
      <c r="Q44" s="408" t="s">
        <v>100</v>
      </c>
      <c r="R44" s="403" t="s">
        <v>100</v>
      </c>
      <c r="S44" s="408" t="s">
        <v>100</v>
      </c>
      <c r="T44" s="403" t="s">
        <v>100</v>
      </c>
      <c r="U44" s="408" t="s">
        <v>100</v>
      </c>
      <c r="V44" s="403" t="s">
        <v>100</v>
      </c>
      <c r="W44" s="408" t="s">
        <v>100</v>
      </c>
      <c r="X44" s="126">
        <v>1</v>
      </c>
      <c r="Y44" s="127">
        <v>1</v>
      </c>
      <c r="Z44" s="126">
        <v>1</v>
      </c>
      <c r="AA44" s="127">
        <v>1</v>
      </c>
      <c r="AB44" s="126">
        <v>1</v>
      </c>
      <c r="AC44" s="127">
        <v>1</v>
      </c>
      <c r="AD44" s="126">
        <v>1</v>
      </c>
      <c r="AE44" s="127">
        <v>1</v>
      </c>
      <c r="AF44" s="275">
        <v>1</v>
      </c>
      <c r="AG44" s="292" t="s">
        <v>22</v>
      </c>
      <c r="AH44" s="293" t="s">
        <v>273</v>
      </c>
    </row>
    <row r="45" spans="1:34" ht="39.950000000000003" customHeight="1" x14ac:dyDescent="0.25">
      <c r="A45" s="465">
        <f t="shared" si="0"/>
        <v>32</v>
      </c>
      <c r="B45" s="461">
        <v>44317</v>
      </c>
      <c r="C45" s="466" t="s">
        <v>555</v>
      </c>
      <c r="D45" s="468" t="s">
        <v>22</v>
      </c>
      <c r="E45" s="37" t="s">
        <v>22</v>
      </c>
      <c r="F45" s="563" t="s">
        <v>104</v>
      </c>
      <c r="G45" s="37" t="s">
        <v>22</v>
      </c>
      <c r="H45" s="40" t="s">
        <v>22</v>
      </c>
      <c r="I45" s="37" t="s">
        <v>22</v>
      </c>
      <c r="J45" s="41" t="s">
        <v>22</v>
      </c>
      <c r="K45" s="293" t="s">
        <v>22</v>
      </c>
      <c r="L45" s="563" t="s">
        <v>104</v>
      </c>
      <c r="M45" s="564" t="s">
        <v>104</v>
      </c>
      <c r="N45" s="403" t="s">
        <v>104</v>
      </c>
      <c r="O45" s="408" t="s">
        <v>104</v>
      </c>
      <c r="P45" s="403" t="s">
        <v>104</v>
      </c>
      <c r="Q45" s="408" t="s">
        <v>104</v>
      </c>
      <c r="R45" s="403" t="s">
        <v>104</v>
      </c>
      <c r="S45" s="408" t="s">
        <v>104</v>
      </c>
      <c r="T45" s="403" t="s">
        <v>104</v>
      </c>
      <c r="U45" s="408" t="s">
        <v>104</v>
      </c>
      <c r="V45" s="403" t="s">
        <v>104</v>
      </c>
      <c r="W45" s="408" t="s">
        <v>104</v>
      </c>
      <c r="X45" s="126">
        <v>1</v>
      </c>
      <c r="Y45" s="127">
        <v>1</v>
      </c>
      <c r="Z45" s="126">
        <v>1</v>
      </c>
      <c r="AA45" s="127">
        <v>1</v>
      </c>
      <c r="AB45" s="126">
        <v>1</v>
      </c>
      <c r="AC45" s="127">
        <v>1</v>
      </c>
      <c r="AD45" s="126">
        <v>1</v>
      </c>
      <c r="AE45" s="127">
        <v>1</v>
      </c>
      <c r="AF45" s="275">
        <v>1</v>
      </c>
      <c r="AG45" s="292" t="s">
        <v>22</v>
      </c>
      <c r="AH45" s="293" t="s">
        <v>273</v>
      </c>
    </row>
    <row r="46" spans="1:34" ht="39.950000000000003" customHeight="1" x14ac:dyDescent="0.25">
      <c r="A46" s="465">
        <f t="shared" si="0"/>
        <v>33</v>
      </c>
      <c r="B46" s="461">
        <v>44348</v>
      </c>
      <c r="C46" s="466" t="s">
        <v>162</v>
      </c>
      <c r="D46" s="468" t="s">
        <v>22</v>
      </c>
      <c r="E46" s="37" t="s">
        <v>22</v>
      </c>
      <c r="F46" s="563" t="s">
        <v>100</v>
      </c>
      <c r="G46" s="37" t="s">
        <v>22</v>
      </c>
      <c r="H46" s="40" t="s">
        <v>22</v>
      </c>
      <c r="I46" s="37" t="s">
        <v>22</v>
      </c>
      <c r="J46" s="41" t="s">
        <v>22</v>
      </c>
      <c r="K46" s="293" t="s">
        <v>22</v>
      </c>
      <c r="L46" s="563" t="s">
        <v>100</v>
      </c>
      <c r="M46" s="564" t="s">
        <v>100</v>
      </c>
      <c r="N46" s="403" t="s">
        <v>100</v>
      </c>
      <c r="O46" s="408" t="s">
        <v>100</v>
      </c>
      <c r="P46" s="403" t="s">
        <v>100</v>
      </c>
      <c r="Q46" s="408" t="s">
        <v>100</v>
      </c>
      <c r="R46" s="403" t="s">
        <v>100</v>
      </c>
      <c r="S46" s="408" t="s">
        <v>100</v>
      </c>
      <c r="T46" s="403" t="s">
        <v>100</v>
      </c>
      <c r="U46" s="408" t="s">
        <v>100</v>
      </c>
      <c r="V46" s="403" t="s">
        <v>100</v>
      </c>
      <c r="W46" s="408" t="s">
        <v>100</v>
      </c>
      <c r="X46" s="126">
        <v>1</v>
      </c>
      <c r="Y46" s="127">
        <v>1</v>
      </c>
      <c r="Z46" s="126">
        <v>1</v>
      </c>
      <c r="AA46" s="127">
        <v>1</v>
      </c>
      <c r="AB46" s="126">
        <v>1</v>
      </c>
      <c r="AC46" s="127">
        <v>1</v>
      </c>
      <c r="AD46" s="126">
        <v>1</v>
      </c>
      <c r="AE46" s="127">
        <v>1</v>
      </c>
      <c r="AF46" s="275">
        <v>1</v>
      </c>
      <c r="AG46" s="292" t="s">
        <v>22</v>
      </c>
      <c r="AH46" s="293" t="s">
        <v>273</v>
      </c>
    </row>
    <row r="47" spans="1:34" ht="39.950000000000003" customHeight="1" x14ac:dyDescent="0.25">
      <c r="A47" s="465">
        <f t="shared" si="0"/>
        <v>34</v>
      </c>
      <c r="B47" s="461">
        <v>44378</v>
      </c>
      <c r="C47" s="466" t="s">
        <v>164</v>
      </c>
      <c r="D47" s="468" t="s">
        <v>22</v>
      </c>
      <c r="E47" s="37" t="s">
        <v>22</v>
      </c>
      <c r="F47" s="563" t="s">
        <v>104</v>
      </c>
      <c r="G47" s="37" t="s">
        <v>22</v>
      </c>
      <c r="H47" s="40" t="s">
        <v>22</v>
      </c>
      <c r="I47" s="37" t="s">
        <v>22</v>
      </c>
      <c r="J47" s="41" t="s">
        <v>22</v>
      </c>
      <c r="K47" s="293" t="s">
        <v>22</v>
      </c>
      <c r="L47" s="563" t="s">
        <v>104</v>
      </c>
      <c r="M47" s="564" t="s">
        <v>104</v>
      </c>
      <c r="N47" s="403" t="s">
        <v>104</v>
      </c>
      <c r="O47" s="408" t="s">
        <v>104</v>
      </c>
      <c r="P47" s="403" t="s">
        <v>104</v>
      </c>
      <c r="Q47" s="408" t="s">
        <v>104</v>
      </c>
      <c r="R47" s="403" t="s">
        <v>104</v>
      </c>
      <c r="S47" s="408" t="s">
        <v>104</v>
      </c>
      <c r="T47" s="403" t="s">
        <v>104</v>
      </c>
      <c r="U47" s="408" t="s">
        <v>104</v>
      </c>
      <c r="V47" s="403" t="s">
        <v>104</v>
      </c>
      <c r="W47" s="408" t="s">
        <v>104</v>
      </c>
      <c r="X47" s="126">
        <v>1</v>
      </c>
      <c r="Y47" s="127">
        <v>1</v>
      </c>
      <c r="Z47" s="126">
        <v>1</v>
      </c>
      <c r="AA47" s="127">
        <v>1</v>
      </c>
      <c r="AB47" s="126">
        <v>1</v>
      </c>
      <c r="AC47" s="127">
        <v>1</v>
      </c>
      <c r="AD47" s="126">
        <v>1</v>
      </c>
      <c r="AE47" s="127">
        <v>1</v>
      </c>
      <c r="AF47" s="275">
        <v>1</v>
      </c>
      <c r="AG47" s="292" t="s">
        <v>22</v>
      </c>
      <c r="AH47" s="293" t="s">
        <v>22</v>
      </c>
    </row>
    <row r="48" spans="1:34" ht="39.950000000000003" customHeight="1" x14ac:dyDescent="0.25">
      <c r="A48" s="465">
        <f t="shared" si="0"/>
        <v>35</v>
      </c>
      <c r="B48" s="461">
        <v>44409</v>
      </c>
      <c r="C48" s="466" t="s">
        <v>158</v>
      </c>
      <c r="D48" s="468" t="s">
        <v>22</v>
      </c>
      <c r="E48" s="37" t="s">
        <v>22</v>
      </c>
      <c r="F48" s="563" t="s">
        <v>100</v>
      </c>
      <c r="G48" s="37" t="s">
        <v>22</v>
      </c>
      <c r="H48" s="40" t="s">
        <v>22</v>
      </c>
      <c r="I48" s="37" t="s">
        <v>22</v>
      </c>
      <c r="J48" s="41" t="s">
        <v>22</v>
      </c>
      <c r="K48" s="293" t="s">
        <v>22</v>
      </c>
      <c r="L48" s="563" t="s">
        <v>100</v>
      </c>
      <c r="M48" s="564" t="s">
        <v>100</v>
      </c>
      <c r="N48" s="403" t="s">
        <v>100</v>
      </c>
      <c r="O48" s="408" t="s">
        <v>100</v>
      </c>
      <c r="P48" s="403" t="s">
        <v>100</v>
      </c>
      <c r="Q48" s="408" t="s">
        <v>100</v>
      </c>
      <c r="R48" s="403" t="s">
        <v>100</v>
      </c>
      <c r="S48" s="408" t="s">
        <v>100</v>
      </c>
      <c r="T48" s="403" t="s">
        <v>100</v>
      </c>
      <c r="U48" s="408" t="s">
        <v>100</v>
      </c>
      <c r="V48" s="403" t="s">
        <v>100</v>
      </c>
      <c r="W48" s="408" t="s">
        <v>100</v>
      </c>
      <c r="X48" s="126">
        <v>1</v>
      </c>
      <c r="Y48" s="127">
        <v>1</v>
      </c>
      <c r="Z48" s="126">
        <v>1</v>
      </c>
      <c r="AA48" s="127">
        <v>1</v>
      </c>
      <c r="AB48" s="126">
        <v>1</v>
      </c>
      <c r="AC48" s="127">
        <v>1</v>
      </c>
      <c r="AD48" s="126">
        <v>1</v>
      </c>
      <c r="AE48" s="127">
        <v>1</v>
      </c>
      <c r="AF48" s="275">
        <v>1</v>
      </c>
      <c r="AG48" s="292" t="s">
        <v>22</v>
      </c>
      <c r="AH48" s="293" t="s">
        <v>22</v>
      </c>
    </row>
    <row r="49" spans="1:34" ht="39.950000000000003" customHeight="1" x14ac:dyDescent="0.25">
      <c r="A49" s="465">
        <f t="shared" si="0"/>
        <v>36</v>
      </c>
      <c r="B49" s="461">
        <v>44440</v>
      </c>
      <c r="C49" s="466" t="s">
        <v>555</v>
      </c>
      <c r="D49" s="468" t="s">
        <v>22</v>
      </c>
      <c r="E49" s="37" t="s">
        <v>22</v>
      </c>
      <c r="F49" s="563" t="s">
        <v>104</v>
      </c>
      <c r="G49" s="37" t="s">
        <v>22</v>
      </c>
      <c r="H49" s="40" t="s">
        <v>22</v>
      </c>
      <c r="I49" s="37" t="s">
        <v>22</v>
      </c>
      <c r="J49" s="41" t="s">
        <v>22</v>
      </c>
      <c r="K49" s="293" t="s">
        <v>22</v>
      </c>
      <c r="L49" s="563" t="s">
        <v>104</v>
      </c>
      <c r="M49" s="564" t="s">
        <v>104</v>
      </c>
      <c r="N49" s="403" t="s">
        <v>104</v>
      </c>
      <c r="O49" s="408" t="s">
        <v>104</v>
      </c>
      <c r="P49" s="403" t="s">
        <v>104</v>
      </c>
      <c r="Q49" s="408" t="s">
        <v>104</v>
      </c>
      <c r="R49" s="403" t="s">
        <v>104</v>
      </c>
      <c r="S49" s="408" t="s">
        <v>104</v>
      </c>
      <c r="T49" s="403" t="s">
        <v>104</v>
      </c>
      <c r="U49" s="408" t="s">
        <v>104</v>
      </c>
      <c r="V49" s="403" t="s">
        <v>104</v>
      </c>
      <c r="W49" s="408" t="s">
        <v>104</v>
      </c>
      <c r="X49" s="126">
        <v>1</v>
      </c>
      <c r="Y49" s="127">
        <v>1</v>
      </c>
      <c r="Z49" s="126">
        <v>1</v>
      </c>
      <c r="AA49" s="127">
        <v>1</v>
      </c>
      <c r="AB49" s="126">
        <v>1</v>
      </c>
      <c r="AC49" s="127">
        <v>1</v>
      </c>
      <c r="AD49" s="126">
        <v>1</v>
      </c>
      <c r="AE49" s="127">
        <v>1</v>
      </c>
      <c r="AF49" s="275">
        <v>1</v>
      </c>
      <c r="AG49" s="292" t="s">
        <v>22</v>
      </c>
      <c r="AH49" s="293" t="s">
        <v>273</v>
      </c>
    </row>
    <row r="50" spans="1:34" ht="39.950000000000003" customHeight="1" x14ac:dyDescent="0.25">
      <c r="A50" s="465">
        <f t="shared" si="0"/>
        <v>37</v>
      </c>
      <c r="B50" s="461">
        <v>44105</v>
      </c>
      <c r="C50" s="466" t="s">
        <v>162</v>
      </c>
      <c r="D50" s="468" t="s">
        <v>22</v>
      </c>
      <c r="E50" s="37" t="s">
        <v>22</v>
      </c>
      <c r="F50" s="563" t="s">
        <v>100</v>
      </c>
      <c r="G50" s="37" t="s">
        <v>22</v>
      </c>
      <c r="H50" s="40" t="s">
        <v>22</v>
      </c>
      <c r="I50" s="37" t="s">
        <v>22</v>
      </c>
      <c r="J50" s="41" t="s">
        <v>22</v>
      </c>
      <c r="K50" s="293" t="s">
        <v>22</v>
      </c>
      <c r="L50" s="563" t="s">
        <v>100</v>
      </c>
      <c r="M50" s="564" t="s">
        <v>100</v>
      </c>
      <c r="N50" s="403" t="s">
        <v>100</v>
      </c>
      <c r="O50" s="408" t="s">
        <v>100</v>
      </c>
      <c r="P50" s="403" t="s">
        <v>100</v>
      </c>
      <c r="Q50" s="408" t="s">
        <v>100</v>
      </c>
      <c r="R50" s="403" t="s">
        <v>100</v>
      </c>
      <c r="S50" s="408" t="s">
        <v>100</v>
      </c>
      <c r="T50" s="403" t="s">
        <v>100</v>
      </c>
      <c r="U50" s="408" t="s">
        <v>100</v>
      </c>
      <c r="V50" s="403" t="s">
        <v>100</v>
      </c>
      <c r="W50" s="408" t="s">
        <v>100</v>
      </c>
      <c r="X50" s="126">
        <v>1</v>
      </c>
      <c r="Y50" s="127">
        <v>1</v>
      </c>
      <c r="Z50" s="126">
        <v>1</v>
      </c>
      <c r="AA50" s="127">
        <v>1</v>
      </c>
      <c r="AB50" s="126">
        <v>1</v>
      </c>
      <c r="AC50" s="127">
        <v>1</v>
      </c>
      <c r="AD50" s="126">
        <v>1</v>
      </c>
      <c r="AE50" s="127">
        <v>1</v>
      </c>
      <c r="AF50" s="275">
        <v>1</v>
      </c>
      <c r="AG50" s="292" t="s">
        <v>22</v>
      </c>
      <c r="AH50" s="293" t="s">
        <v>273</v>
      </c>
    </row>
    <row r="51" spans="1:34" ht="39.950000000000003" customHeight="1" x14ac:dyDescent="0.25">
      <c r="A51" s="465">
        <f t="shared" si="0"/>
        <v>38</v>
      </c>
      <c r="B51" s="461">
        <v>44136</v>
      </c>
      <c r="C51" s="466" t="s">
        <v>164</v>
      </c>
      <c r="D51" s="468" t="s">
        <v>22</v>
      </c>
      <c r="E51" s="37" t="s">
        <v>22</v>
      </c>
      <c r="F51" s="563" t="s">
        <v>100</v>
      </c>
      <c r="G51" s="37" t="s">
        <v>22</v>
      </c>
      <c r="H51" s="40" t="s">
        <v>22</v>
      </c>
      <c r="I51" s="37" t="s">
        <v>22</v>
      </c>
      <c r="J51" s="41" t="s">
        <v>22</v>
      </c>
      <c r="K51" s="293" t="s">
        <v>22</v>
      </c>
      <c r="L51" s="563" t="s">
        <v>100</v>
      </c>
      <c r="M51" s="564" t="s">
        <v>100</v>
      </c>
      <c r="N51" s="403" t="s">
        <v>100</v>
      </c>
      <c r="O51" s="408" t="s">
        <v>100</v>
      </c>
      <c r="P51" s="403" t="s">
        <v>100</v>
      </c>
      <c r="Q51" s="408" t="s">
        <v>100</v>
      </c>
      <c r="R51" s="403" t="s">
        <v>100</v>
      </c>
      <c r="S51" s="408" t="s">
        <v>100</v>
      </c>
      <c r="T51" s="403" t="s">
        <v>100</v>
      </c>
      <c r="U51" s="408" t="s">
        <v>100</v>
      </c>
      <c r="V51" s="403" t="s">
        <v>100</v>
      </c>
      <c r="W51" s="408" t="s">
        <v>100</v>
      </c>
      <c r="X51" s="126">
        <v>1</v>
      </c>
      <c r="Y51" s="127">
        <v>1</v>
      </c>
      <c r="Z51" s="126">
        <v>1</v>
      </c>
      <c r="AA51" s="127">
        <v>1</v>
      </c>
      <c r="AB51" s="126">
        <v>1</v>
      </c>
      <c r="AC51" s="127">
        <v>1</v>
      </c>
      <c r="AD51" s="126">
        <v>1</v>
      </c>
      <c r="AE51" s="127">
        <v>1</v>
      </c>
      <c r="AF51" s="275">
        <v>1</v>
      </c>
      <c r="AG51" s="292" t="s">
        <v>22</v>
      </c>
      <c r="AH51" s="293" t="s">
        <v>273</v>
      </c>
    </row>
    <row r="52" spans="1:34" ht="39.950000000000003" customHeight="1" x14ac:dyDescent="0.25">
      <c r="A52" s="465">
        <f t="shared" si="0"/>
        <v>39</v>
      </c>
      <c r="B52" s="461">
        <v>44166</v>
      </c>
      <c r="C52" s="466" t="s">
        <v>158</v>
      </c>
      <c r="D52" s="468" t="s">
        <v>22</v>
      </c>
      <c r="E52" s="37" t="s">
        <v>22</v>
      </c>
      <c r="F52" s="563" t="s">
        <v>104</v>
      </c>
      <c r="G52" s="37" t="s">
        <v>22</v>
      </c>
      <c r="H52" s="40" t="s">
        <v>22</v>
      </c>
      <c r="I52" s="37" t="s">
        <v>22</v>
      </c>
      <c r="J52" s="41" t="s">
        <v>22</v>
      </c>
      <c r="K52" s="293" t="s">
        <v>22</v>
      </c>
      <c r="L52" s="563" t="s">
        <v>104</v>
      </c>
      <c r="M52" s="564" t="s">
        <v>104</v>
      </c>
      <c r="N52" s="403" t="s">
        <v>104</v>
      </c>
      <c r="O52" s="408" t="s">
        <v>104</v>
      </c>
      <c r="P52" s="403" t="s">
        <v>104</v>
      </c>
      <c r="Q52" s="408" t="s">
        <v>104</v>
      </c>
      <c r="R52" s="403" t="s">
        <v>104</v>
      </c>
      <c r="S52" s="408" t="s">
        <v>104</v>
      </c>
      <c r="T52" s="403" t="s">
        <v>104</v>
      </c>
      <c r="U52" s="408" t="s">
        <v>104</v>
      </c>
      <c r="V52" s="403" t="s">
        <v>104</v>
      </c>
      <c r="W52" s="408" t="s">
        <v>104</v>
      </c>
      <c r="X52" s="126">
        <v>1</v>
      </c>
      <c r="Y52" s="127">
        <v>1</v>
      </c>
      <c r="Z52" s="126">
        <v>1</v>
      </c>
      <c r="AA52" s="127">
        <v>1</v>
      </c>
      <c r="AB52" s="126">
        <v>1</v>
      </c>
      <c r="AC52" s="127">
        <v>1</v>
      </c>
      <c r="AD52" s="126">
        <v>1</v>
      </c>
      <c r="AE52" s="127">
        <v>1</v>
      </c>
      <c r="AF52" s="275">
        <v>1</v>
      </c>
      <c r="AG52" s="292" t="s">
        <v>22</v>
      </c>
      <c r="AH52" s="293" t="s">
        <v>273</v>
      </c>
    </row>
    <row r="53" spans="1:34" ht="39.950000000000003" customHeight="1" x14ac:dyDescent="0.25">
      <c r="A53" s="465">
        <f t="shared" si="0"/>
        <v>40</v>
      </c>
      <c r="B53" s="461">
        <v>44197</v>
      </c>
      <c r="C53" s="466" t="s">
        <v>555</v>
      </c>
      <c r="D53" s="468" t="s">
        <v>22</v>
      </c>
      <c r="E53" s="37" t="s">
        <v>22</v>
      </c>
      <c r="F53" s="563" t="s">
        <v>100</v>
      </c>
      <c r="G53" s="37" t="s">
        <v>22</v>
      </c>
      <c r="H53" s="40" t="s">
        <v>22</v>
      </c>
      <c r="I53" s="37" t="s">
        <v>22</v>
      </c>
      <c r="J53" s="41" t="s">
        <v>22</v>
      </c>
      <c r="K53" s="293" t="s">
        <v>22</v>
      </c>
      <c r="L53" s="563" t="s">
        <v>100</v>
      </c>
      <c r="M53" s="564" t="s">
        <v>100</v>
      </c>
      <c r="N53" s="403" t="s">
        <v>100</v>
      </c>
      <c r="O53" s="408" t="s">
        <v>100</v>
      </c>
      <c r="P53" s="403" t="s">
        <v>100</v>
      </c>
      <c r="Q53" s="408" t="s">
        <v>100</v>
      </c>
      <c r="R53" s="403" t="s">
        <v>100</v>
      </c>
      <c r="S53" s="408" t="s">
        <v>100</v>
      </c>
      <c r="T53" s="403" t="s">
        <v>100</v>
      </c>
      <c r="U53" s="408" t="s">
        <v>100</v>
      </c>
      <c r="V53" s="403" t="s">
        <v>100</v>
      </c>
      <c r="W53" s="408" t="s">
        <v>100</v>
      </c>
      <c r="X53" s="126">
        <v>1</v>
      </c>
      <c r="Y53" s="127">
        <v>1</v>
      </c>
      <c r="Z53" s="126">
        <v>1</v>
      </c>
      <c r="AA53" s="127">
        <v>1</v>
      </c>
      <c r="AB53" s="126">
        <v>1</v>
      </c>
      <c r="AC53" s="127">
        <v>1</v>
      </c>
      <c r="AD53" s="126">
        <v>1</v>
      </c>
      <c r="AE53" s="127">
        <v>1</v>
      </c>
      <c r="AF53" s="275">
        <v>1</v>
      </c>
      <c r="AG53" s="292" t="s">
        <v>22</v>
      </c>
      <c r="AH53" s="293" t="s">
        <v>22</v>
      </c>
    </row>
    <row r="54" spans="1:34" ht="39.950000000000003" customHeight="1" x14ac:dyDescent="0.25">
      <c r="A54" s="465">
        <f t="shared" si="0"/>
        <v>41</v>
      </c>
      <c r="B54" s="461">
        <v>44228</v>
      </c>
      <c r="C54" s="466" t="s">
        <v>158</v>
      </c>
      <c r="D54" s="468" t="s">
        <v>22</v>
      </c>
      <c r="E54" s="37" t="s">
        <v>22</v>
      </c>
      <c r="F54" s="563" t="s">
        <v>100</v>
      </c>
      <c r="G54" s="37" t="s">
        <v>22</v>
      </c>
      <c r="H54" s="40" t="s">
        <v>22</v>
      </c>
      <c r="I54" s="37" t="s">
        <v>22</v>
      </c>
      <c r="J54" s="41" t="s">
        <v>22</v>
      </c>
      <c r="K54" s="293" t="s">
        <v>22</v>
      </c>
      <c r="L54" s="563" t="s">
        <v>100</v>
      </c>
      <c r="M54" s="564" t="s">
        <v>100</v>
      </c>
      <c r="N54" s="403" t="s">
        <v>100</v>
      </c>
      <c r="O54" s="408" t="s">
        <v>100</v>
      </c>
      <c r="P54" s="403" t="s">
        <v>100</v>
      </c>
      <c r="Q54" s="408" t="s">
        <v>100</v>
      </c>
      <c r="R54" s="403" t="s">
        <v>100</v>
      </c>
      <c r="S54" s="408" t="s">
        <v>100</v>
      </c>
      <c r="T54" s="403" t="s">
        <v>100</v>
      </c>
      <c r="U54" s="408" t="s">
        <v>100</v>
      </c>
      <c r="V54" s="403" t="s">
        <v>100</v>
      </c>
      <c r="W54" s="408" t="s">
        <v>100</v>
      </c>
      <c r="X54" s="126">
        <v>1</v>
      </c>
      <c r="Y54" s="127">
        <v>1</v>
      </c>
      <c r="Z54" s="126">
        <v>1</v>
      </c>
      <c r="AA54" s="127">
        <v>1</v>
      </c>
      <c r="AB54" s="126">
        <v>1</v>
      </c>
      <c r="AC54" s="127">
        <v>1</v>
      </c>
      <c r="AD54" s="126">
        <v>1</v>
      </c>
      <c r="AE54" s="127">
        <v>1</v>
      </c>
      <c r="AF54" s="275">
        <v>1</v>
      </c>
      <c r="AG54" s="292" t="s">
        <v>22</v>
      </c>
      <c r="AH54" s="293" t="s">
        <v>273</v>
      </c>
    </row>
    <row r="55" spans="1:34" ht="39.950000000000003" customHeight="1" x14ac:dyDescent="0.25">
      <c r="A55" s="465">
        <f t="shared" si="0"/>
        <v>42</v>
      </c>
      <c r="B55" s="461">
        <v>44256</v>
      </c>
      <c r="C55" s="466" t="s">
        <v>555</v>
      </c>
      <c r="D55" s="468" t="s">
        <v>22</v>
      </c>
      <c r="E55" s="37" t="s">
        <v>22</v>
      </c>
      <c r="F55" s="563" t="s">
        <v>104</v>
      </c>
      <c r="G55" s="37" t="s">
        <v>22</v>
      </c>
      <c r="H55" s="40" t="s">
        <v>22</v>
      </c>
      <c r="I55" s="37" t="s">
        <v>22</v>
      </c>
      <c r="J55" s="41" t="s">
        <v>22</v>
      </c>
      <c r="K55" s="293" t="s">
        <v>22</v>
      </c>
      <c r="L55" s="563" t="s">
        <v>104</v>
      </c>
      <c r="M55" s="564" t="s">
        <v>104</v>
      </c>
      <c r="N55" s="403" t="s">
        <v>104</v>
      </c>
      <c r="O55" s="408" t="s">
        <v>104</v>
      </c>
      <c r="P55" s="403" t="s">
        <v>104</v>
      </c>
      <c r="Q55" s="408" t="s">
        <v>104</v>
      </c>
      <c r="R55" s="403" t="s">
        <v>104</v>
      </c>
      <c r="S55" s="408" t="s">
        <v>104</v>
      </c>
      <c r="T55" s="403" t="s">
        <v>104</v>
      </c>
      <c r="U55" s="408" t="s">
        <v>104</v>
      </c>
      <c r="V55" s="403" t="s">
        <v>104</v>
      </c>
      <c r="W55" s="408" t="s">
        <v>104</v>
      </c>
      <c r="X55" s="126">
        <v>1</v>
      </c>
      <c r="Y55" s="127">
        <v>1</v>
      </c>
      <c r="Z55" s="126">
        <v>1</v>
      </c>
      <c r="AA55" s="127">
        <v>1</v>
      </c>
      <c r="AB55" s="126">
        <v>1</v>
      </c>
      <c r="AC55" s="127">
        <v>1</v>
      </c>
      <c r="AD55" s="126">
        <v>1</v>
      </c>
      <c r="AE55" s="127">
        <v>1</v>
      </c>
      <c r="AF55" s="275">
        <v>1</v>
      </c>
      <c r="AG55" s="292" t="s">
        <v>22</v>
      </c>
      <c r="AH55" s="293" t="s">
        <v>273</v>
      </c>
    </row>
    <row r="56" spans="1:34" ht="39.950000000000003" customHeight="1" x14ac:dyDescent="0.25">
      <c r="A56" s="465">
        <f t="shared" si="0"/>
        <v>43</v>
      </c>
      <c r="B56" s="461">
        <v>44287</v>
      </c>
      <c r="C56" s="466" t="s">
        <v>162</v>
      </c>
      <c r="D56" s="468" t="s">
        <v>22</v>
      </c>
      <c r="E56" s="37" t="s">
        <v>22</v>
      </c>
      <c r="F56" s="563" t="s">
        <v>100</v>
      </c>
      <c r="G56" s="37" t="s">
        <v>22</v>
      </c>
      <c r="H56" s="40" t="s">
        <v>22</v>
      </c>
      <c r="I56" s="37" t="s">
        <v>22</v>
      </c>
      <c r="J56" s="41" t="s">
        <v>22</v>
      </c>
      <c r="K56" s="293" t="s">
        <v>22</v>
      </c>
      <c r="L56" s="563" t="s">
        <v>100</v>
      </c>
      <c r="M56" s="564" t="s">
        <v>100</v>
      </c>
      <c r="N56" s="403" t="s">
        <v>100</v>
      </c>
      <c r="O56" s="408" t="s">
        <v>100</v>
      </c>
      <c r="P56" s="403" t="s">
        <v>100</v>
      </c>
      <c r="Q56" s="408" t="s">
        <v>100</v>
      </c>
      <c r="R56" s="403" t="s">
        <v>100</v>
      </c>
      <c r="S56" s="408" t="s">
        <v>100</v>
      </c>
      <c r="T56" s="403" t="s">
        <v>100</v>
      </c>
      <c r="U56" s="408" t="s">
        <v>100</v>
      </c>
      <c r="V56" s="403" t="s">
        <v>100</v>
      </c>
      <c r="W56" s="408" t="s">
        <v>100</v>
      </c>
      <c r="X56" s="126">
        <v>1</v>
      </c>
      <c r="Y56" s="127">
        <v>1</v>
      </c>
      <c r="Z56" s="126">
        <v>1</v>
      </c>
      <c r="AA56" s="127">
        <v>1</v>
      </c>
      <c r="AB56" s="126">
        <v>1</v>
      </c>
      <c r="AC56" s="127">
        <v>1</v>
      </c>
      <c r="AD56" s="126">
        <v>1</v>
      </c>
      <c r="AE56" s="127">
        <v>1</v>
      </c>
      <c r="AF56" s="275">
        <v>1</v>
      </c>
      <c r="AG56" s="292" t="s">
        <v>22</v>
      </c>
      <c r="AH56" s="293" t="s">
        <v>273</v>
      </c>
    </row>
    <row r="57" spans="1:34" ht="39.950000000000003" customHeight="1" x14ac:dyDescent="0.25">
      <c r="A57" s="465">
        <f t="shared" si="0"/>
        <v>44</v>
      </c>
      <c r="B57" s="461">
        <v>44317</v>
      </c>
      <c r="C57" s="466" t="s">
        <v>164</v>
      </c>
      <c r="D57" s="468" t="s">
        <v>22</v>
      </c>
      <c r="E57" s="37" t="s">
        <v>22</v>
      </c>
      <c r="F57" s="563" t="s">
        <v>104</v>
      </c>
      <c r="G57" s="37" t="s">
        <v>22</v>
      </c>
      <c r="H57" s="40" t="s">
        <v>22</v>
      </c>
      <c r="I57" s="37" t="s">
        <v>22</v>
      </c>
      <c r="J57" s="41" t="s">
        <v>22</v>
      </c>
      <c r="K57" s="293" t="s">
        <v>22</v>
      </c>
      <c r="L57" s="563" t="s">
        <v>104</v>
      </c>
      <c r="M57" s="564" t="s">
        <v>104</v>
      </c>
      <c r="N57" s="403" t="s">
        <v>104</v>
      </c>
      <c r="O57" s="408" t="s">
        <v>104</v>
      </c>
      <c r="P57" s="403" t="s">
        <v>104</v>
      </c>
      <c r="Q57" s="408" t="s">
        <v>104</v>
      </c>
      <c r="R57" s="403" t="s">
        <v>104</v>
      </c>
      <c r="S57" s="408" t="s">
        <v>104</v>
      </c>
      <c r="T57" s="403" t="s">
        <v>104</v>
      </c>
      <c r="U57" s="408" t="s">
        <v>104</v>
      </c>
      <c r="V57" s="403" t="s">
        <v>104</v>
      </c>
      <c r="W57" s="408" t="s">
        <v>104</v>
      </c>
      <c r="X57" s="126">
        <v>1</v>
      </c>
      <c r="Y57" s="127">
        <v>1</v>
      </c>
      <c r="Z57" s="126">
        <v>1</v>
      </c>
      <c r="AA57" s="127">
        <v>1</v>
      </c>
      <c r="AB57" s="126">
        <v>1</v>
      </c>
      <c r="AC57" s="127">
        <v>1</v>
      </c>
      <c r="AD57" s="126">
        <v>1</v>
      </c>
      <c r="AE57" s="127">
        <v>1</v>
      </c>
      <c r="AF57" s="275">
        <v>1</v>
      </c>
      <c r="AG57" s="292" t="s">
        <v>22</v>
      </c>
      <c r="AH57" s="293" t="s">
        <v>273</v>
      </c>
    </row>
    <row r="58" spans="1:34" ht="39.950000000000003" customHeight="1" x14ac:dyDescent="0.25">
      <c r="A58" s="465">
        <f t="shared" si="0"/>
        <v>45</v>
      </c>
      <c r="B58" s="461">
        <v>44348</v>
      </c>
      <c r="C58" s="466" t="s">
        <v>158</v>
      </c>
      <c r="D58" s="468" t="s">
        <v>22</v>
      </c>
      <c r="E58" s="37" t="s">
        <v>22</v>
      </c>
      <c r="F58" s="563" t="s">
        <v>100</v>
      </c>
      <c r="G58" s="37" t="s">
        <v>22</v>
      </c>
      <c r="H58" s="40" t="s">
        <v>22</v>
      </c>
      <c r="I58" s="37" t="s">
        <v>22</v>
      </c>
      <c r="J58" s="41" t="s">
        <v>22</v>
      </c>
      <c r="K58" s="293" t="s">
        <v>22</v>
      </c>
      <c r="L58" s="563" t="s">
        <v>100</v>
      </c>
      <c r="M58" s="564" t="s">
        <v>100</v>
      </c>
      <c r="N58" s="403" t="s">
        <v>100</v>
      </c>
      <c r="O58" s="408" t="s">
        <v>100</v>
      </c>
      <c r="P58" s="403" t="s">
        <v>100</v>
      </c>
      <c r="Q58" s="408" t="s">
        <v>100</v>
      </c>
      <c r="R58" s="403" t="s">
        <v>100</v>
      </c>
      <c r="S58" s="408" t="s">
        <v>100</v>
      </c>
      <c r="T58" s="403" t="s">
        <v>100</v>
      </c>
      <c r="U58" s="408" t="s">
        <v>100</v>
      </c>
      <c r="V58" s="403" t="s">
        <v>100</v>
      </c>
      <c r="W58" s="408" t="s">
        <v>100</v>
      </c>
      <c r="X58" s="126">
        <v>1</v>
      </c>
      <c r="Y58" s="127">
        <v>1</v>
      </c>
      <c r="Z58" s="126">
        <v>1</v>
      </c>
      <c r="AA58" s="127">
        <v>1</v>
      </c>
      <c r="AB58" s="126">
        <v>1</v>
      </c>
      <c r="AC58" s="127">
        <v>1</v>
      </c>
      <c r="AD58" s="126">
        <v>1</v>
      </c>
      <c r="AE58" s="127">
        <v>1</v>
      </c>
      <c r="AF58" s="275">
        <v>1</v>
      </c>
      <c r="AG58" s="292" t="s">
        <v>22</v>
      </c>
      <c r="AH58" s="293" t="s">
        <v>273</v>
      </c>
    </row>
    <row r="59" spans="1:34" ht="39.950000000000003" customHeight="1" x14ac:dyDescent="0.25">
      <c r="A59" s="465">
        <f t="shared" si="0"/>
        <v>46</v>
      </c>
      <c r="B59" s="461">
        <v>44378</v>
      </c>
      <c r="C59" s="466" t="s">
        <v>555</v>
      </c>
      <c r="D59" s="468" t="s">
        <v>22</v>
      </c>
      <c r="E59" s="37" t="s">
        <v>22</v>
      </c>
      <c r="F59" s="563" t="s">
        <v>104</v>
      </c>
      <c r="G59" s="37" t="s">
        <v>22</v>
      </c>
      <c r="H59" s="40" t="s">
        <v>22</v>
      </c>
      <c r="I59" s="37" t="s">
        <v>22</v>
      </c>
      <c r="J59" s="41" t="s">
        <v>22</v>
      </c>
      <c r="K59" s="293" t="s">
        <v>22</v>
      </c>
      <c r="L59" s="563" t="s">
        <v>104</v>
      </c>
      <c r="M59" s="564" t="s">
        <v>104</v>
      </c>
      <c r="N59" s="403" t="s">
        <v>104</v>
      </c>
      <c r="O59" s="408" t="s">
        <v>104</v>
      </c>
      <c r="P59" s="403" t="s">
        <v>104</v>
      </c>
      <c r="Q59" s="408" t="s">
        <v>104</v>
      </c>
      <c r="R59" s="403" t="s">
        <v>104</v>
      </c>
      <c r="S59" s="408" t="s">
        <v>104</v>
      </c>
      <c r="T59" s="403" t="s">
        <v>104</v>
      </c>
      <c r="U59" s="408" t="s">
        <v>104</v>
      </c>
      <c r="V59" s="403" t="s">
        <v>104</v>
      </c>
      <c r="W59" s="408" t="s">
        <v>104</v>
      </c>
      <c r="X59" s="126">
        <v>1</v>
      </c>
      <c r="Y59" s="127">
        <v>1</v>
      </c>
      <c r="Z59" s="126">
        <v>1</v>
      </c>
      <c r="AA59" s="127">
        <v>1</v>
      </c>
      <c r="AB59" s="126">
        <v>1</v>
      </c>
      <c r="AC59" s="127">
        <v>1</v>
      </c>
      <c r="AD59" s="126">
        <v>1</v>
      </c>
      <c r="AE59" s="127">
        <v>1</v>
      </c>
      <c r="AF59" s="275">
        <v>1</v>
      </c>
      <c r="AG59" s="292" t="s">
        <v>22</v>
      </c>
      <c r="AH59" s="293" t="s">
        <v>22</v>
      </c>
    </row>
    <row r="60" spans="1:34" ht="39.950000000000003" customHeight="1" x14ac:dyDescent="0.25">
      <c r="A60" s="465">
        <f t="shared" si="0"/>
        <v>47</v>
      </c>
      <c r="B60" s="461">
        <v>44409</v>
      </c>
      <c r="C60" s="466" t="s">
        <v>162</v>
      </c>
      <c r="D60" s="468" t="s">
        <v>22</v>
      </c>
      <c r="E60" s="37" t="s">
        <v>22</v>
      </c>
      <c r="F60" s="563" t="s">
        <v>100</v>
      </c>
      <c r="G60" s="37" t="s">
        <v>22</v>
      </c>
      <c r="H60" s="40" t="s">
        <v>22</v>
      </c>
      <c r="I60" s="37" t="s">
        <v>22</v>
      </c>
      <c r="J60" s="41" t="s">
        <v>22</v>
      </c>
      <c r="K60" s="293" t="s">
        <v>22</v>
      </c>
      <c r="L60" s="563" t="s">
        <v>100</v>
      </c>
      <c r="M60" s="564" t="s">
        <v>100</v>
      </c>
      <c r="N60" s="403" t="s">
        <v>100</v>
      </c>
      <c r="O60" s="408" t="s">
        <v>100</v>
      </c>
      <c r="P60" s="403" t="s">
        <v>100</v>
      </c>
      <c r="Q60" s="408" t="s">
        <v>100</v>
      </c>
      <c r="R60" s="403" t="s">
        <v>100</v>
      </c>
      <c r="S60" s="408" t="s">
        <v>100</v>
      </c>
      <c r="T60" s="403" t="s">
        <v>100</v>
      </c>
      <c r="U60" s="408" t="s">
        <v>100</v>
      </c>
      <c r="V60" s="403" t="s">
        <v>100</v>
      </c>
      <c r="W60" s="408" t="s">
        <v>100</v>
      </c>
      <c r="X60" s="126">
        <v>1</v>
      </c>
      <c r="Y60" s="127">
        <v>1</v>
      </c>
      <c r="Z60" s="126">
        <v>1</v>
      </c>
      <c r="AA60" s="127">
        <v>1</v>
      </c>
      <c r="AB60" s="126">
        <v>1</v>
      </c>
      <c r="AC60" s="127">
        <v>1</v>
      </c>
      <c r="AD60" s="126">
        <v>1</v>
      </c>
      <c r="AE60" s="127">
        <v>1</v>
      </c>
      <c r="AF60" s="275">
        <v>1</v>
      </c>
      <c r="AG60" s="292" t="s">
        <v>22</v>
      </c>
      <c r="AH60" s="293" t="s">
        <v>22</v>
      </c>
    </row>
    <row r="61" spans="1:34" ht="39.950000000000003" customHeight="1" x14ac:dyDescent="0.25">
      <c r="A61" s="465">
        <f t="shared" si="0"/>
        <v>48</v>
      </c>
      <c r="B61" s="461">
        <v>44440</v>
      </c>
      <c r="C61" s="466" t="s">
        <v>164</v>
      </c>
      <c r="D61" s="468" t="s">
        <v>22</v>
      </c>
      <c r="E61" s="37" t="s">
        <v>22</v>
      </c>
      <c r="F61" s="563" t="s">
        <v>100</v>
      </c>
      <c r="G61" s="37" t="s">
        <v>22</v>
      </c>
      <c r="H61" s="40" t="s">
        <v>22</v>
      </c>
      <c r="I61" s="37" t="s">
        <v>22</v>
      </c>
      <c r="J61" s="41" t="s">
        <v>22</v>
      </c>
      <c r="K61" s="293" t="s">
        <v>22</v>
      </c>
      <c r="L61" s="563" t="s">
        <v>100</v>
      </c>
      <c r="M61" s="564" t="s">
        <v>100</v>
      </c>
      <c r="N61" s="403" t="s">
        <v>100</v>
      </c>
      <c r="O61" s="408" t="s">
        <v>100</v>
      </c>
      <c r="P61" s="403" t="s">
        <v>100</v>
      </c>
      <c r="Q61" s="408" t="s">
        <v>100</v>
      </c>
      <c r="R61" s="403" t="s">
        <v>100</v>
      </c>
      <c r="S61" s="408" t="s">
        <v>100</v>
      </c>
      <c r="T61" s="403" t="s">
        <v>100</v>
      </c>
      <c r="U61" s="408" t="s">
        <v>100</v>
      </c>
      <c r="V61" s="403" t="s">
        <v>100</v>
      </c>
      <c r="W61" s="408" t="s">
        <v>100</v>
      </c>
      <c r="X61" s="126">
        <v>1</v>
      </c>
      <c r="Y61" s="127">
        <v>1</v>
      </c>
      <c r="Z61" s="126">
        <v>1</v>
      </c>
      <c r="AA61" s="127">
        <v>1</v>
      </c>
      <c r="AB61" s="126">
        <v>1</v>
      </c>
      <c r="AC61" s="127">
        <v>1</v>
      </c>
      <c r="AD61" s="126">
        <v>1</v>
      </c>
      <c r="AE61" s="127">
        <v>1</v>
      </c>
      <c r="AF61" s="275">
        <v>1</v>
      </c>
      <c r="AG61" s="292" t="s">
        <v>22</v>
      </c>
      <c r="AH61" s="293" t="s">
        <v>273</v>
      </c>
    </row>
    <row r="62" spans="1:34" ht="39.950000000000003" customHeight="1" x14ac:dyDescent="0.25">
      <c r="A62" s="465">
        <f t="shared" si="0"/>
        <v>49</v>
      </c>
      <c r="B62" s="461">
        <v>44105</v>
      </c>
      <c r="C62" s="466" t="s">
        <v>158</v>
      </c>
      <c r="D62" s="468" t="s">
        <v>22</v>
      </c>
      <c r="E62" s="37" t="s">
        <v>22</v>
      </c>
      <c r="F62" s="563" t="s">
        <v>104</v>
      </c>
      <c r="G62" s="37" t="s">
        <v>22</v>
      </c>
      <c r="H62" s="40" t="s">
        <v>22</v>
      </c>
      <c r="I62" s="37" t="s">
        <v>22</v>
      </c>
      <c r="J62" s="41" t="s">
        <v>22</v>
      </c>
      <c r="K62" s="293" t="s">
        <v>22</v>
      </c>
      <c r="L62" s="563" t="s">
        <v>104</v>
      </c>
      <c r="M62" s="564" t="s">
        <v>104</v>
      </c>
      <c r="N62" s="403" t="s">
        <v>104</v>
      </c>
      <c r="O62" s="408" t="s">
        <v>104</v>
      </c>
      <c r="P62" s="403" t="s">
        <v>104</v>
      </c>
      <c r="Q62" s="408" t="s">
        <v>104</v>
      </c>
      <c r="R62" s="403" t="s">
        <v>104</v>
      </c>
      <c r="S62" s="408" t="s">
        <v>104</v>
      </c>
      <c r="T62" s="403" t="s">
        <v>104</v>
      </c>
      <c r="U62" s="408" t="s">
        <v>104</v>
      </c>
      <c r="V62" s="403" t="s">
        <v>104</v>
      </c>
      <c r="W62" s="408" t="s">
        <v>104</v>
      </c>
      <c r="X62" s="126">
        <v>1</v>
      </c>
      <c r="Y62" s="127">
        <v>1</v>
      </c>
      <c r="Z62" s="126">
        <v>1</v>
      </c>
      <c r="AA62" s="127">
        <v>1</v>
      </c>
      <c r="AB62" s="126">
        <v>1</v>
      </c>
      <c r="AC62" s="127">
        <v>1</v>
      </c>
      <c r="AD62" s="126">
        <v>1</v>
      </c>
      <c r="AE62" s="127">
        <v>1</v>
      </c>
      <c r="AF62" s="275">
        <v>1</v>
      </c>
      <c r="AG62" s="292" t="s">
        <v>22</v>
      </c>
      <c r="AH62" s="293" t="s">
        <v>273</v>
      </c>
    </row>
    <row r="63" spans="1:34" ht="39.950000000000003" customHeight="1" x14ac:dyDescent="0.25">
      <c r="A63" s="465">
        <f t="shared" si="0"/>
        <v>50</v>
      </c>
      <c r="B63" s="461">
        <v>44136</v>
      </c>
      <c r="C63" s="466" t="s">
        <v>555</v>
      </c>
      <c r="D63" s="468" t="s">
        <v>22</v>
      </c>
      <c r="E63" s="37" t="s">
        <v>22</v>
      </c>
      <c r="F63" s="563" t="s">
        <v>100</v>
      </c>
      <c r="G63" s="37" t="s">
        <v>22</v>
      </c>
      <c r="H63" s="40" t="s">
        <v>22</v>
      </c>
      <c r="I63" s="37" t="s">
        <v>22</v>
      </c>
      <c r="J63" s="41" t="s">
        <v>22</v>
      </c>
      <c r="K63" s="293" t="s">
        <v>22</v>
      </c>
      <c r="L63" s="563" t="s">
        <v>100</v>
      </c>
      <c r="M63" s="564" t="s">
        <v>100</v>
      </c>
      <c r="N63" s="403" t="s">
        <v>100</v>
      </c>
      <c r="O63" s="408" t="s">
        <v>100</v>
      </c>
      <c r="P63" s="403" t="s">
        <v>100</v>
      </c>
      <c r="Q63" s="408" t="s">
        <v>100</v>
      </c>
      <c r="R63" s="403" t="s">
        <v>100</v>
      </c>
      <c r="S63" s="408" t="s">
        <v>100</v>
      </c>
      <c r="T63" s="403" t="s">
        <v>100</v>
      </c>
      <c r="U63" s="408" t="s">
        <v>100</v>
      </c>
      <c r="V63" s="403" t="s">
        <v>100</v>
      </c>
      <c r="W63" s="408" t="s">
        <v>100</v>
      </c>
      <c r="X63" s="126">
        <v>1</v>
      </c>
      <c r="Y63" s="127">
        <v>1</v>
      </c>
      <c r="Z63" s="126">
        <v>1</v>
      </c>
      <c r="AA63" s="127">
        <v>1</v>
      </c>
      <c r="AB63" s="126">
        <v>1</v>
      </c>
      <c r="AC63" s="127">
        <v>1</v>
      </c>
      <c r="AD63" s="126">
        <v>1</v>
      </c>
      <c r="AE63" s="127">
        <v>1</v>
      </c>
      <c r="AF63" s="275">
        <v>1</v>
      </c>
      <c r="AG63" s="292" t="s">
        <v>22</v>
      </c>
      <c r="AH63" s="293" t="s">
        <v>273</v>
      </c>
    </row>
  </sheetData>
  <mergeCells count="26">
    <mergeCell ref="A5:S5"/>
    <mergeCell ref="J6:M6"/>
    <mergeCell ref="A6:D6"/>
    <mergeCell ref="A2:M2"/>
    <mergeCell ref="A3:M3"/>
    <mergeCell ref="A4:M4"/>
    <mergeCell ref="E6:G6"/>
    <mergeCell ref="H6:I6"/>
    <mergeCell ref="N2:W2"/>
    <mergeCell ref="J7:M7"/>
    <mergeCell ref="J8:M8"/>
    <mergeCell ref="J9:M9"/>
    <mergeCell ref="A7:D7"/>
    <mergeCell ref="A8:D9"/>
    <mergeCell ref="H9:I9"/>
    <mergeCell ref="E7:G7"/>
    <mergeCell ref="E8:G8"/>
    <mergeCell ref="H7:I7"/>
    <mergeCell ref="H8:I8"/>
    <mergeCell ref="X12:AG12"/>
    <mergeCell ref="J10:M10"/>
    <mergeCell ref="A11:S11"/>
    <mergeCell ref="B12:M12"/>
    <mergeCell ref="N12:W12"/>
    <mergeCell ref="A10:D10"/>
    <mergeCell ref="H10:I10"/>
  </mergeCells>
  <conditionalFormatting sqref="C14:D63">
    <cfRule type="expression" dxfId="0" priority="1">
      <formula>$C14="Other (Specify in Notes)"</formula>
    </cfRule>
  </conditionalFormatting>
  <dataValidations count="2">
    <dataValidation type="date" allowBlank="1" showInputMessage="1" showErrorMessage="1" prompt="Use MM/DD/YYYY format.  Leave blank until date is needed. " sqref="B14:B63" xr:uid="{3D5AC571-9689-407E-BD42-0FE9B6010DF9}">
      <formula1>43709</formula1>
      <formula2>45930</formula2>
    </dataValidation>
    <dataValidation type="whole" allowBlank="1" showInputMessage="1" showErrorMessage="1" prompt="Use a number, Do NOT use alphabet" sqref="X14:AF63" xr:uid="{BBF68E0C-9260-489E-9F60-9D435D6F7A37}">
      <formula1>0</formula1>
      <formula2>5000</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CAC4C5A5-E0BA-4949-BB1D-50C4ABC7336D}">
          <x14:formula1>
            <xm:f>'Pick List '!$G$15:$G$16</xm:f>
          </x14:formula1>
          <xm:sqref>F14:F63 L14:W63</xm:sqref>
        </x14:dataValidation>
        <x14:dataValidation type="list" allowBlank="1" showInputMessage="1" showErrorMessage="1" xr:uid="{B261FEEC-2544-4F6E-939D-495E5A13A5BA}">
          <x14:formula1>
            <xm:f>'Pick List '!$T$99:$T$102</xm:f>
          </x14:formula1>
          <xm:sqref>C14:C63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42167-D57E-4975-AC17-D4774195C607}">
  <sheetPr>
    <tabColor rgb="FF0070C0"/>
  </sheetPr>
  <dimension ref="A1:O62"/>
  <sheetViews>
    <sheetView workbookViewId="0">
      <pane ySplit="1" topLeftCell="A20" activePane="bottomLeft" state="frozen"/>
      <selection activeCell="C1" sqref="C1"/>
      <selection pane="bottomLeft" activeCell="A5" sqref="A5:K5"/>
    </sheetView>
  </sheetViews>
  <sheetFormatPr defaultRowHeight="15" x14ac:dyDescent="0.25"/>
  <cols>
    <col min="1" max="1" width="5.140625" customWidth="1"/>
    <col min="2" max="2" width="13.7109375" customWidth="1"/>
    <col min="3" max="3" width="24.7109375" customWidth="1"/>
    <col min="4" max="4" width="16.140625" customWidth="1"/>
    <col min="5" max="5" width="19.42578125" customWidth="1"/>
    <col min="6" max="6" width="15.85546875" customWidth="1"/>
    <col min="7" max="7" width="9.7109375" customWidth="1"/>
    <col min="8" max="8" width="24.85546875" customWidth="1"/>
    <col min="9" max="10" width="15.7109375" customWidth="1"/>
    <col min="11" max="11" width="17.85546875" customWidth="1"/>
    <col min="12" max="12" width="19.7109375" customWidth="1"/>
    <col min="13" max="13" width="15.7109375" customWidth="1"/>
    <col min="14" max="14" width="13.42578125" customWidth="1"/>
    <col min="15" max="15" width="36" customWidth="1"/>
  </cols>
  <sheetData>
    <row r="1" spans="1:15" ht="69.95" customHeight="1" x14ac:dyDescent="0.25">
      <c r="A1" s="512" t="s">
        <v>245</v>
      </c>
      <c r="B1" s="516" t="s">
        <v>578</v>
      </c>
      <c r="C1" s="552" t="s">
        <v>586</v>
      </c>
      <c r="D1" s="554" t="s">
        <v>557</v>
      </c>
      <c r="E1" s="513" t="s">
        <v>579</v>
      </c>
      <c r="F1" s="514" t="s">
        <v>580</v>
      </c>
      <c r="G1" s="515" t="s">
        <v>573</v>
      </c>
      <c r="H1" s="514" t="s">
        <v>581</v>
      </c>
      <c r="I1" s="534" t="s">
        <v>582</v>
      </c>
      <c r="J1" s="517" t="s">
        <v>574</v>
      </c>
      <c r="K1" s="513" t="s">
        <v>583</v>
      </c>
      <c r="L1" s="549" t="s">
        <v>584</v>
      </c>
      <c r="M1" s="542" t="s">
        <v>588</v>
      </c>
      <c r="N1" s="541" t="s">
        <v>589</v>
      </c>
      <c r="O1" s="543" t="s">
        <v>262</v>
      </c>
    </row>
    <row r="2" spans="1:15" ht="20.100000000000001" customHeight="1" x14ac:dyDescent="0.25">
      <c r="A2" s="1305" t="str">
        <f>'BASE GRANTEE INFO &amp; UPDATES'!A1</f>
        <v>WV Bureau for Behavioral Health and Health Facilities -Community Anti-Drug Coalitions of America and Teen Court</v>
      </c>
      <c r="B2" s="1305"/>
      <c r="C2" s="1305"/>
      <c r="D2" s="1305"/>
      <c r="E2" s="1305"/>
      <c r="F2" s="1305"/>
      <c r="G2" s="1305"/>
      <c r="H2" s="1305"/>
      <c r="I2" s="1305"/>
      <c r="J2" s="1305"/>
      <c r="K2" s="1306"/>
      <c r="L2" s="538"/>
      <c r="M2" s="524"/>
      <c r="N2" s="524"/>
      <c r="O2" s="511"/>
    </row>
    <row r="3" spans="1:15" ht="20.100000000000001" customHeight="1" x14ac:dyDescent="0.25">
      <c r="A3" s="1307" t="str">
        <f>'BASE GRANTEE INFO &amp; UPDATES'!A2</f>
        <v>FISCAL YEAR: 2025 (09/30/2024 - 09/29/2025)</v>
      </c>
      <c r="B3" s="1307"/>
      <c r="C3" s="1307"/>
      <c r="D3" s="1307"/>
      <c r="E3" s="1307"/>
      <c r="F3" s="1307"/>
      <c r="G3" s="1307"/>
      <c r="H3" s="1307"/>
      <c r="I3" s="1307"/>
      <c r="J3" s="1307"/>
      <c r="K3" s="1308"/>
      <c r="L3" s="538"/>
      <c r="M3" s="524"/>
      <c r="N3" s="524"/>
      <c r="O3" s="511"/>
    </row>
    <row r="4" spans="1:15" ht="20.100000000000001" customHeight="1" x14ac:dyDescent="0.25">
      <c r="A4" s="1309" t="str">
        <f>'BASE GRANTEE INFO &amp; UPDATES'!A3</f>
        <v xml:space="preserve">Program reports need to be submitted electronically, via e-mail to BBHReporting@wv.gov  within 25 calendar days of the end of each month </v>
      </c>
      <c r="B4" s="1309"/>
      <c r="C4" s="1309"/>
      <c r="D4" s="1309"/>
      <c r="E4" s="1309"/>
      <c r="F4" s="1309"/>
      <c r="G4" s="1309"/>
      <c r="H4" s="1309"/>
      <c r="I4" s="1309"/>
      <c r="J4" s="1309"/>
      <c r="K4" s="1310"/>
      <c r="L4" s="539"/>
      <c r="M4" s="525"/>
      <c r="N4" s="525"/>
      <c r="O4" s="511"/>
    </row>
    <row r="5" spans="1:15" ht="20.25" customHeight="1" x14ac:dyDescent="0.25">
      <c r="A5" s="1311" t="s">
        <v>484</v>
      </c>
      <c r="B5" s="1311"/>
      <c r="C5" s="1311"/>
      <c r="D5" s="1311"/>
      <c r="E5" s="1311"/>
      <c r="F5" s="1311"/>
      <c r="G5" s="1311"/>
      <c r="H5" s="1311"/>
      <c r="I5" s="1311"/>
      <c r="J5" s="1311"/>
      <c r="K5" s="1311"/>
      <c r="L5" s="522"/>
      <c r="M5" s="509"/>
      <c r="N5" s="509"/>
      <c r="O5" s="511"/>
    </row>
    <row r="6" spans="1:15" ht="20.100000000000001" customHeight="1" x14ac:dyDescent="0.25">
      <c r="A6" s="1312" t="s">
        <v>263</v>
      </c>
      <c r="B6" s="1312"/>
      <c r="C6" s="1312"/>
      <c r="D6" s="1252" t="str">
        <f>'BASE GRANTEE INFO &amp; UPDATES'!E5</f>
        <v xml:space="preserve">Community Anti-Drug Coalitions of America (CADCA) and Teen Court </v>
      </c>
      <c r="E6" s="1252"/>
      <c r="F6" s="1252"/>
      <c r="G6" s="519" t="s">
        <v>1</v>
      </c>
      <c r="H6" s="519"/>
      <c r="I6" s="1252">
        <f>'BASE GRANTEE INFO &amp; UPDATES'!M5</f>
        <v>0</v>
      </c>
      <c r="J6" s="1252"/>
      <c r="K6" s="1252"/>
      <c r="L6" s="527"/>
      <c r="M6" s="510"/>
      <c r="N6" s="510"/>
      <c r="O6" s="511"/>
    </row>
    <row r="7" spans="1:15" ht="20.100000000000001" customHeight="1" x14ac:dyDescent="0.25">
      <c r="A7" s="1313" t="s">
        <v>264</v>
      </c>
      <c r="B7" s="1313"/>
      <c r="C7" s="1313"/>
      <c r="D7" s="1269" t="str">
        <f>'BASE GRANTEE INFO &amp; UPDATES'!E6</f>
        <v>CADCA In Action and Teen Court</v>
      </c>
      <c r="E7" s="1269"/>
      <c r="F7" s="1269"/>
      <c r="G7" s="520" t="s">
        <v>265</v>
      </c>
      <c r="H7" s="520"/>
      <c r="I7" s="1268">
        <f>'BASE GRANTEE INFO &amp; UPDATES'!M6</f>
        <v>0</v>
      </c>
      <c r="J7" s="1268"/>
      <c r="K7" s="1268"/>
      <c r="L7" s="528"/>
      <c r="M7" s="540"/>
      <c r="N7" s="540"/>
      <c r="O7" s="511"/>
    </row>
    <row r="8" spans="1:15" ht="20.100000000000001" customHeight="1" x14ac:dyDescent="0.25">
      <c r="A8" s="1315" t="s">
        <v>266</v>
      </c>
      <c r="B8" s="1315"/>
      <c r="C8" s="1315"/>
      <c r="D8" s="1316">
        <f>'BASE GRANTEE INFO &amp; UPDATES'!E7</f>
        <v>0</v>
      </c>
      <c r="E8" s="1317"/>
      <c r="F8" s="1318"/>
      <c r="G8" s="518" t="s">
        <v>267</v>
      </c>
      <c r="H8" s="518"/>
      <c r="I8" s="1269">
        <f>'BASE GRANTEE INFO &amp; UPDATES'!M7</f>
        <v>0</v>
      </c>
      <c r="J8" s="1269"/>
      <c r="K8" s="1269"/>
      <c r="L8" s="523"/>
      <c r="M8" s="511"/>
      <c r="N8" s="511"/>
      <c r="O8" s="511"/>
    </row>
    <row r="9" spans="1:15" ht="20.100000000000001" customHeight="1" x14ac:dyDescent="0.25">
      <c r="A9" s="1315"/>
      <c r="B9" s="1315"/>
      <c r="C9" s="1315"/>
      <c r="D9" s="1319"/>
      <c r="E9" s="1320"/>
      <c r="F9" s="1321"/>
      <c r="G9" s="518" t="s">
        <v>268</v>
      </c>
      <c r="H9" s="518"/>
      <c r="I9" s="1269">
        <f>'BASE GRANTEE INFO &amp; UPDATES'!M8</f>
        <v>0</v>
      </c>
      <c r="J9" s="1269"/>
      <c r="K9" s="1269"/>
      <c r="L9" s="523"/>
      <c r="M9" s="511"/>
      <c r="N9" s="511"/>
      <c r="O9" s="511"/>
    </row>
    <row r="10" spans="1:15" ht="20.100000000000001" customHeight="1" x14ac:dyDescent="0.25">
      <c r="A10" s="1314" t="s">
        <v>269</v>
      </c>
      <c r="B10" s="1314"/>
      <c r="C10" s="1314"/>
      <c r="D10" s="265" t="str">
        <f>'BASE GRANTEE INFO &amp; UPDATES'!E9</f>
        <v>September 1 - 30</v>
      </c>
      <c r="E10" s="1247">
        <f>'BASE GRANTEE INFO &amp; UPDATES'!G9</f>
        <v>2024</v>
      </c>
      <c r="F10" s="1247"/>
      <c r="G10" s="521" t="s">
        <v>456</v>
      </c>
      <c r="H10" s="521"/>
      <c r="I10" s="1269">
        <f>'BASE GRANTEE INFO &amp; UPDATES'!M9</f>
        <v>0</v>
      </c>
      <c r="J10" s="1269"/>
      <c r="K10" s="1269"/>
      <c r="L10" s="523"/>
      <c r="M10" s="511"/>
      <c r="N10" s="511"/>
      <c r="O10" s="511"/>
    </row>
    <row r="11" spans="1:15" ht="18.75" customHeight="1" x14ac:dyDescent="0.25">
      <c r="A11" s="1311"/>
      <c r="B11" s="1311"/>
      <c r="C11" s="1311"/>
      <c r="D11" s="1311"/>
      <c r="E11" s="1311"/>
      <c r="F11" s="1311"/>
      <c r="G11" s="1311"/>
      <c r="H11" s="1311"/>
      <c r="I11" s="1311"/>
      <c r="J11" s="1311"/>
      <c r="K11" s="1311"/>
      <c r="L11" s="523"/>
      <c r="M11" s="511"/>
      <c r="N11" s="511"/>
      <c r="O11" s="511"/>
    </row>
    <row r="12" spans="1:15" ht="69.95" customHeight="1" x14ac:dyDescent="0.25">
      <c r="A12" s="512" t="s">
        <v>245</v>
      </c>
      <c r="B12" s="516" t="s">
        <v>578</v>
      </c>
      <c r="C12" s="552" t="s">
        <v>586</v>
      </c>
      <c r="D12" s="553" t="s">
        <v>557</v>
      </c>
      <c r="E12" s="513" t="s">
        <v>579</v>
      </c>
      <c r="F12" s="514" t="s">
        <v>580</v>
      </c>
      <c r="G12" s="515" t="s">
        <v>573</v>
      </c>
      <c r="H12" s="514" t="s">
        <v>581</v>
      </c>
      <c r="I12" s="534" t="s">
        <v>582</v>
      </c>
      <c r="J12" s="517" t="s">
        <v>574</v>
      </c>
      <c r="K12" s="513" t="s">
        <v>583</v>
      </c>
      <c r="L12" s="548" t="s">
        <v>584</v>
      </c>
      <c r="M12" s="542" t="s">
        <v>587</v>
      </c>
      <c r="N12" s="551" t="s">
        <v>585</v>
      </c>
      <c r="O12" s="544" t="s">
        <v>262</v>
      </c>
    </row>
    <row r="13" spans="1:15" ht="50.1" customHeight="1" x14ac:dyDescent="0.25">
      <c r="A13" s="512">
        <f>ROW(A1)</f>
        <v>1</v>
      </c>
      <c r="B13" s="535">
        <v>44075</v>
      </c>
      <c r="C13" s="536" t="s">
        <v>171</v>
      </c>
      <c r="D13" s="555" t="s">
        <v>22</v>
      </c>
      <c r="E13" s="556" t="s">
        <v>22</v>
      </c>
      <c r="F13" s="557" t="s">
        <v>22</v>
      </c>
      <c r="G13" s="550">
        <v>5</v>
      </c>
      <c r="H13" s="557" t="s">
        <v>22</v>
      </c>
      <c r="I13" s="558" t="s">
        <v>22</v>
      </c>
      <c r="J13" s="558" t="s">
        <v>22</v>
      </c>
      <c r="K13" s="556" t="s">
        <v>22</v>
      </c>
      <c r="L13" s="559" t="s">
        <v>22</v>
      </c>
      <c r="M13" s="546" t="s">
        <v>100</v>
      </c>
      <c r="N13" s="547" t="s">
        <v>100</v>
      </c>
      <c r="O13" s="545" t="s">
        <v>22</v>
      </c>
    </row>
    <row r="14" spans="1:15" ht="50.1" customHeight="1" x14ac:dyDescent="0.25">
      <c r="A14" s="512">
        <f t="shared" ref="A14:A62" si="0">ROW(A2)</f>
        <v>2</v>
      </c>
      <c r="B14" s="537">
        <v>44105</v>
      </c>
      <c r="C14" s="536" t="s">
        <v>174</v>
      </c>
      <c r="D14" s="555" t="s">
        <v>22</v>
      </c>
      <c r="E14" s="556" t="s">
        <v>22</v>
      </c>
      <c r="F14" s="557" t="s">
        <v>22</v>
      </c>
      <c r="G14" s="550">
        <v>5</v>
      </c>
      <c r="H14" s="557" t="s">
        <v>22</v>
      </c>
      <c r="I14" s="558" t="s">
        <v>22</v>
      </c>
      <c r="J14" s="558" t="s">
        <v>22</v>
      </c>
      <c r="K14" s="556" t="s">
        <v>22</v>
      </c>
      <c r="L14" s="559" t="s">
        <v>22</v>
      </c>
      <c r="M14" s="546" t="s">
        <v>100</v>
      </c>
      <c r="N14" s="547" t="s">
        <v>100</v>
      </c>
      <c r="O14" s="545" t="s">
        <v>22</v>
      </c>
    </row>
    <row r="15" spans="1:15" ht="50.1" customHeight="1" x14ac:dyDescent="0.25">
      <c r="A15" s="512">
        <f t="shared" si="0"/>
        <v>3</v>
      </c>
      <c r="B15" s="535">
        <v>44136</v>
      </c>
      <c r="C15" s="536" t="s">
        <v>178</v>
      </c>
      <c r="D15" s="555" t="s">
        <v>22</v>
      </c>
      <c r="E15" s="556" t="s">
        <v>22</v>
      </c>
      <c r="F15" s="557" t="s">
        <v>22</v>
      </c>
      <c r="G15" s="550">
        <v>5</v>
      </c>
      <c r="H15" s="557" t="s">
        <v>22</v>
      </c>
      <c r="I15" s="558" t="s">
        <v>22</v>
      </c>
      <c r="J15" s="558" t="s">
        <v>22</v>
      </c>
      <c r="K15" s="556" t="s">
        <v>22</v>
      </c>
      <c r="L15" s="559" t="s">
        <v>22</v>
      </c>
      <c r="M15" s="546" t="s">
        <v>100</v>
      </c>
      <c r="N15" s="547" t="s">
        <v>100</v>
      </c>
      <c r="O15" s="545" t="s">
        <v>22</v>
      </c>
    </row>
    <row r="16" spans="1:15" ht="50.1" customHeight="1" x14ac:dyDescent="0.25">
      <c r="A16" s="512">
        <f t="shared" si="0"/>
        <v>4</v>
      </c>
      <c r="B16" s="537">
        <v>44166</v>
      </c>
      <c r="C16" s="536" t="s">
        <v>181</v>
      </c>
      <c r="D16" s="555" t="s">
        <v>22</v>
      </c>
      <c r="E16" s="556" t="s">
        <v>22</v>
      </c>
      <c r="F16" s="557" t="s">
        <v>22</v>
      </c>
      <c r="G16" s="550">
        <v>5</v>
      </c>
      <c r="H16" s="557" t="s">
        <v>22</v>
      </c>
      <c r="I16" s="558" t="s">
        <v>22</v>
      </c>
      <c r="J16" s="558" t="s">
        <v>22</v>
      </c>
      <c r="K16" s="556" t="s">
        <v>22</v>
      </c>
      <c r="L16" s="559" t="s">
        <v>22</v>
      </c>
      <c r="M16" s="546" t="s">
        <v>100</v>
      </c>
      <c r="N16" s="547" t="s">
        <v>100</v>
      </c>
      <c r="O16" s="545" t="s">
        <v>22</v>
      </c>
    </row>
    <row r="17" spans="1:15" ht="50.1" customHeight="1" x14ac:dyDescent="0.25">
      <c r="A17" s="512">
        <f t="shared" si="0"/>
        <v>5</v>
      </c>
      <c r="B17" s="535">
        <v>44197</v>
      </c>
      <c r="C17" s="536" t="s">
        <v>184</v>
      </c>
      <c r="D17" s="555" t="s">
        <v>22</v>
      </c>
      <c r="E17" s="556" t="s">
        <v>22</v>
      </c>
      <c r="F17" s="557" t="s">
        <v>22</v>
      </c>
      <c r="G17" s="550">
        <v>5</v>
      </c>
      <c r="H17" s="557" t="s">
        <v>22</v>
      </c>
      <c r="I17" s="558" t="s">
        <v>22</v>
      </c>
      <c r="J17" s="558" t="s">
        <v>22</v>
      </c>
      <c r="K17" s="556" t="s">
        <v>22</v>
      </c>
      <c r="L17" s="559" t="s">
        <v>22</v>
      </c>
      <c r="M17" s="546" t="s">
        <v>100</v>
      </c>
      <c r="N17" s="547" t="s">
        <v>100</v>
      </c>
      <c r="O17" s="545" t="s">
        <v>22</v>
      </c>
    </row>
    <row r="18" spans="1:15" ht="50.1" customHeight="1" x14ac:dyDescent="0.25">
      <c r="A18" s="512">
        <f t="shared" si="0"/>
        <v>6</v>
      </c>
      <c r="B18" s="537">
        <v>44228</v>
      </c>
      <c r="C18" s="536" t="s">
        <v>187</v>
      </c>
      <c r="D18" s="555" t="s">
        <v>22</v>
      </c>
      <c r="E18" s="556" t="s">
        <v>22</v>
      </c>
      <c r="F18" s="557" t="s">
        <v>22</v>
      </c>
      <c r="G18" s="550">
        <v>5</v>
      </c>
      <c r="H18" s="557" t="s">
        <v>22</v>
      </c>
      <c r="I18" s="558" t="s">
        <v>22</v>
      </c>
      <c r="J18" s="558" t="s">
        <v>22</v>
      </c>
      <c r="K18" s="556" t="s">
        <v>22</v>
      </c>
      <c r="L18" s="559" t="s">
        <v>22</v>
      </c>
      <c r="M18" s="546" t="s">
        <v>100</v>
      </c>
      <c r="N18" s="547" t="s">
        <v>100</v>
      </c>
      <c r="O18" s="545" t="s">
        <v>22</v>
      </c>
    </row>
    <row r="19" spans="1:15" ht="50.1" customHeight="1" x14ac:dyDescent="0.25">
      <c r="A19" s="512">
        <f t="shared" si="0"/>
        <v>7</v>
      </c>
      <c r="B19" s="535">
        <v>44256</v>
      </c>
      <c r="C19" s="536" t="s">
        <v>189</v>
      </c>
      <c r="D19" s="555" t="s">
        <v>22</v>
      </c>
      <c r="E19" s="556" t="s">
        <v>22</v>
      </c>
      <c r="F19" s="557" t="s">
        <v>22</v>
      </c>
      <c r="G19" s="550">
        <v>5</v>
      </c>
      <c r="H19" s="557" t="s">
        <v>22</v>
      </c>
      <c r="I19" s="558" t="s">
        <v>22</v>
      </c>
      <c r="J19" s="558" t="s">
        <v>22</v>
      </c>
      <c r="K19" s="556" t="s">
        <v>22</v>
      </c>
      <c r="L19" s="559" t="s">
        <v>22</v>
      </c>
      <c r="M19" s="546" t="s">
        <v>100</v>
      </c>
      <c r="N19" s="547" t="s">
        <v>100</v>
      </c>
      <c r="O19" s="545" t="s">
        <v>22</v>
      </c>
    </row>
    <row r="20" spans="1:15" ht="50.1" customHeight="1" x14ac:dyDescent="0.25">
      <c r="A20" s="512">
        <f t="shared" si="0"/>
        <v>8</v>
      </c>
      <c r="B20" s="537">
        <v>44287</v>
      </c>
      <c r="C20" s="536" t="s">
        <v>191</v>
      </c>
      <c r="D20" s="555" t="s">
        <v>22</v>
      </c>
      <c r="E20" s="556" t="s">
        <v>22</v>
      </c>
      <c r="F20" s="557" t="s">
        <v>22</v>
      </c>
      <c r="G20" s="550">
        <v>5</v>
      </c>
      <c r="H20" s="557" t="s">
        <v>22</v>
      </c>
      <c r="I20" s="558" t="s">
        <v>22</v>
      </c>
      <c r="J20" s="558" t="s">
        <v>22</v>
      </c>
      <c r="K20" s="556" t="s">
        <v>22</v>
      </c>
      <c r="L20" s="559" t="s">
        <v>22</v>
      </c>
      <c r="M20" s="546" t="s">
        <v>100</v>
      </c>
      <c r="N20" s="547" t="s">
        <v>100</v>
      </c>
      <c r="O20" s="545" t="s">
        <v>22</v>
      </c>
    </row>
    <row r="21" spans="1:15" ht="50.1" customHeight="1" x14ac:dyDescent="0.25">
      <c r="A21" s="512">
        <f t="shared" si="0"/>
        <v>9</v>
      </c>
      <c r="B21" s="535">
        <v>44317</v>
      </c>
      <c r="C21" s="536" t="s">
        <v>192</v>
      </c>
      <c r="D21" s="555" t="s">
        <v>22</v>
      </c>
      <c r="E21" s="556" t="s">
        <v>22</v>
      </c>
      <c r="F21" s="557" t="s">
        <v>22</v>
      </c>
      <c r="G21" s="550">
        <v>5</v>
      </c>
      <c r="H21" s="557" t="s">
        <v>22</v>
      </c>
      <c r="I21" s="558" t="s">
        <v>22</v>
      </c>
      <c r="J21" s="558" t="s">
        <v>22</v>
      </c>
      <c r="K21" s="556" t="s">
        <v>22</v>
      </c>
      <c r="L21" s="559" t="s">
        <v>22</v>
      </c>
      <c r="M21" s="546" t="s">
        <v>100</v>
      </c>
      <c r="N21" s="547" t="s">
        <v>100</v>
      </c>
      <c r="O21" s="545" t="s">
        <v>22</v>
      </c>
    </row>
    <row r="22" spans="1:15" ht="50.1" customHeight="1" x14ac:dyDescent="0.25">
      <c r="A22" s="512">
        <f t="shared" si="0"/>
        <v>10</v>
      </c>
      <c r="B22" s="537">
        <v>44348</v>
      </c>
      <c r="C22" s="536" t="s">
        <v>171</v>
      </c>
      <c r="D22" s="555" t="s">
        <v>22</v>
      </c>
      <c r="E22" s="556" t="s">
        <v>22</v>
      </c>
      <c r="F22" s="557" t="s">
        <v>22</v>
      </c>
      <c r="G22" s="550">
        <v>5</v>
      </c>
      <c r="H22" s="557" t="s">
        <v>22</v>
      </c>
      <c r="I22" s="558" t="s">
        <v>22</v>
      </c>
      <c r="J22" s="558" t="s">
        <v>22</v>
      </c>
      <c r="K22" s="556" t="s">
        <v>22</v>
      </c>
      <c r="L22" s="559" t="s">
        <v>22</v>
      </c>
      <c r="M22" s="546" t="s">
        <v>100</v>
      </c>
      <c r="N22" s="547" t="s">
        <v>100</v>
      </c>
      <c r="O22" s="545" t="s">
        <v>22</v>
      </c>
    </row>
    <row r="23" spans="1:15" ht="50.1" customHeight="1" x14ac:dyDescent="0.25">
      <c r="A23" s="512">
        <f t="shared" si="0"/>
        <v>11</v>
      </c>
      <c r="B23" s="535">
        <v>44378</v>
      </c>
      <c r="C23" s="536" t="s">
        <v>171</v>
      </c>
      <c r="D23" s="555" t="s">
        <v>22</v>
      </c>
      <c r="E23" s="556" t="s">
        <v>22</v>
      </c>
      <c r="F23" s="557" t="s">
        <v>22</v>
      </c>
      <c r="G23" s="550">
        <v>5</v>
      </c>
      <c r="H23" s="557" t="s">
        <v>22</v>
      </c>
      <c r="I23" s="558" t="s">
        <v>22</v>
      </c>
      <c r="J23" s="558" t="s">
        <v>22</v>
      </c>
      <c r="K23" s="556" t="s">
        <v>22</v>
      </c>
      <c r="L23" s="559" t="s">
        <v>22</v>
      </c>
      <c r="M23" s="546" t="s">
        <v>100</v>
      </c>
      <c r="N23" s="547" t="s">
        <v>100</v>
      </c>
      <c r="O23" s="545" t="s">
        <v>22</v>
      </c>
    </row>
    <row r="24" spans="1:15" ht="50.1" customHeight="1" x14ac:dyDescent="0.25">
      <c r="A24" s="512">
        <f t="shared" si="0"/>
        <v>12</v>
      </c>
      <c r="B24" s="537">
        <v>44409</v>
      </c>
      <c r="C24" s="536" t="s">
        <v>174</v>
      </c>
      <c r="D24" s="555" t="s">
        <v>22</v>
      </c>
      <c r="E24" s="556" t="s">
        <v>22</v>
      </c>
      <c r="F24" s="557" t="s">
        <v>22</v>
      </c>
      <c r="G24" s="550">
        <v>5</v>
      </c>
      <c r="H24" s="557" t="s">
        <v>22</v>
      </c>
      <c r="I24" s="558" t="s">
        <v>22</v>
      </c>
      <c r="J24" s="558" t="s">
        <v>22</v>
      </c>
      <c r="K24" s="556" t="s">
        <v>22</v>
      </c>
      <c r="L24" s="559" t="s">
        <v>22</v>
      </c>
      <c r="M24" s="546" t="s">
        <v>100</v>
      </c>
      <c r="N24" s="547" t="s">
        <v>100</v>
      </c>
      <c r="O24" s="545" t="s">
        <v>22</v>
      </c>
    </row>
    <row r="25" spans="1:15" ht="50.1" customHeight="1" x14ac:dyDescent="0.25">
      <c r="A25" s="512">
        <f t="shared" si="0"/>
        <v>13</v>
      </c>
      <c r="B25" s="535">
        <v>44440</v>
      </c>
      <c r="C25" s="536" t="s">
        <v>178</v>
      </c>
      <c r="D25" s="555" t="s">
        <v>22</v>
      </c>
      <c r="E25" s="556" t="s">
        <v>22</v>
      </c>
      <c r="F25" s="557" t="s">
        <v>22</v>
      </c>
      <c r="G25" s="550">
        <v>5</v>
      </c>
      <c r="H25" s="557" t="s">
        <v>22</v>
      </c>
      <c r="I25" s="558" t="s">
        <v>22</v>
      </c>
      <c r="J25" s="558" t="s">
        <v>22</v>
      </c>
      <c r="K25" s="556" t="s">
        <v>22</v>
      </c>
      <c r="L25" s="559" t="s">
        <v>22</v>
      </c>
      <c r="M25" s="546" t="s">
        <v>100</v>
      </c>
      <c r="N25" s="547" t="s">
        <v>100</v>
      </c>
      <c r="O25" s="545" t="s">
        <v>22</v>
      </c>
    </row>
    <row r="26" spans="1:15" ht="50.1" customHeight="1" x14ac:dyDescent="0.25">
      <c r="A26" s="512">
        <f t="shared" si="0"/>
        <v>14</v>
      </c>
      <c r="B26" s="537">
        <v>44075</v>
      </c>
      <c r="C26" s="536" t="s">
        <v>181</v>
      </c>
      <c r="D26" s="555" t="s">
        <v>22</v>
      </c>
      <c r="E26" s="556" t="s">
        <v>22</v>
      </c>
      <c r="F26" s="557" t="s">
        <v>22</v>
      </c>
      <c r="G26" s="550">
        <v>5</v>
      </c>
      <c r="H26" s="557" t="s">
        <v>22</v>
      </c>
      <c r="I26" s="558" t="s">
        <v>22</v>
      </c>
      <c r="J26" s="558" t="s">
        <v>22</v>
      </c>
      <c r="K26" s="556" t="s">
        <v>22</v>
      </c>
      <c r="L26" s="559" t="s">
        <v>22</v>
      </c>
      <c r="M26" s="546" t="s">
        <v>100</v>
      </c>
      <c r="N26" s="547" t="s">
        <v>100</v>
      </c>
      <c r="O26" s="545" t="s">
        <v>22</v>
      </c>
    </row>
    <row r="27" spans="1:15" ht="50.1" customHeight="1" x14ac:dyDescent="0.25">
      <c r="A27" s="512">
        <f t="shared" si="0"/>
        <v>15</v>
      </c>
      <c r="B27" s="535">
        <v>44105</v>
      </c>
      <c r="C27" s="536" t="s">
        <v>184</v>
      </c>
      <c r="D27" s="555" t="s">
        <v>22</v>
      </c>
      <c r="E27" s="556" t="s">
        <v>22</v>
      </c>
      <c r="F27" s="557" t="s">
        <v>22</v>
      </c>
      <c r="G27" s="550">
        <v>5</v>
      </c>
      <c r="H27" s="557" t="s">
        <v>22</v>
      </c>
      <c r="I27" s="558" t="s">
        <v>22</v>
      </c>
      <c r="J27" s="558" t="s">
        <v>22</v>
      </c>
      <c r="K27" s="556" t="s">
        <v>22</v>
      </c>
      <c r="L27" s="559" t="s">
        <v>22</v>
      </c>
      <c r="M27" s="546" t="s">
        <v>100</v>
      </c>
      <c r="N27" s="547" t="s">
        <v>100</v>
      </c>
      <c r="O27" s="545" t="s">
        <v>22</v>
      </c>
    </row>
    <row r="28" spans="1:15" ht="50.1" customHeight="1" x14ac:dyDescent="0.25">
      <c r="A28" s="512">
        <f t="shared" si="0"/>
        <v>16</v>
      </c>
      <c r="B28" s="537">
        <v>44136</v>
      </c>
      <c r="C28" s="536" t="s">
        <v>187</v>
      </c>
      <c r="D28" s="555" t="s">
        <v>22</v>
      </c>
      <c r="E28" s="556" t="s">
        <v>22</v>
      </c>
      <c r="F28" s="557" t="s">
        <v>22</v>
      </c>
      <c r="G28" s="550">
        <v>5</v>
      </c>
      <c r="H28" s="557" t="s">
        <v>22</v>
      </c>
      <c r="I28" s="558" t="s">
        <v>22</v>
      </c>
      <c r="J28" s="558" t="s">
        <v>22</v>
      </c>
      <c r="K28" s="556" t="s">
        <v>22</v>
      </c>
      <c r="L28" s="559" t="s">
        <v>22</v>
      </c>
      <c r="M28" s="546" t="s">
        <v>100</v>
      </c>
      <c r="N28" s="547" t="s">
        <v>100</v>
      </c>
      <c r="O28" s="545" t="s">
        <v>22</v>
      </c>
    </row>
    <row r="29" spans="1:15" ht="50.1" customHeight="1" x14ac:dyDescent="0.25">
      <c r="A29" s="512">
        <f t="shared" si="0"/>
        <v>17</v>
      </c>
      <c r="B29" s="535">
        <v>44166</v>
      </c>
      <c r="C29" s="536" t="s">
        <v>189</v>
      </c>
      <c r="D29" s="555" t="s">
        <v>22</v>
      </c>
      <c r="E29" s="556" t="s">
        <v>22</v>
      </c>
      <c r="F29" s="557" t="s">
        <v>22</v>
      </c>
      <c r="G29" s="550">
        <v>5</v>
      </c>
      <c r="H29" s="557" t="s">
        <v>22</v>
      </c>
      <c r="I29" s="558" t="s">
        <v>22</v>
      </c>
      <c r="J29" s="558" t="s">
        <v>22</v>
      </c>
      <c r="K29" s="556" t="s">
        <v>22</v>
      </c>
      <c r="L29" s="559" t="s">
        <v>22</v>
      </c>
      <c r="M29" s="546" t="s">
        <v>100</v>
      </c>
      <c r="N29" s="547" t="s">
        <v>100</v>
      </c>
      <c r="O29" s="545" t="s">
        <v>22</v>
      </c>
    </row>
    <row r="30" spans="1:15" ht="50.1" customHeight="1" x14ac:dyDescent="0.25">
      <c r="A30" s="512">
        <f t="shared" si="0"/>
        <v>18</v>
      </c>
      <c r="B30" s="537">
        <v>44197</v>
      </c>
      <c r="C30" s="536" t="s">
        <v>191</v>
      </c>
      <c r="D30" s="555" t="s">
        <v>22</v>
      </c>
      <c r="E30" s="556" t="s">
        <v>22</v>
      </c>
      <c r="F30" s="557" t="s">
        <v>22</v>
      </c>
      <c r="G30" s="550">
        <v>5</v>
      </c>
      <c r="H30" s="557" t="s">
        <v>22</v>
      </c>
      <c r="I30" s="558" t="s">
        <v>22</v>
      </c>
      <c r="J30" s="558" t="s">
        <v>22</v>
      </c>
      <c r="K30" s="556" t="s">
        <v>22</v>
      </c>
      <c r="L30" s="559" t="s">
        <v>22</v>
      </c>
      <c r="M30" s="546" t="s">
        <v>100</v>
      </c>
      <c r="N30" s="547" t="s">
        <v>100</v>
      </c>
      <c r="O30" s="545" t="s">
        <v>22</v>
      </c>
    </row>
    <row r="31" spans="1:15" ht="50.1" customHeight="1" x14ac:dyDescent="0.25">
      <c r="A31" s="512">
        <f t="shared" si="0"/>
        <v>19</v>
      </c>
      <c r="B31" s="535">
        <v>44228</v>
      </c>
      <c r="C31" s="536" t="s">
        <v>192</v>
      </c>
      <c r="D31" s="555" t="s">
        <v>22</v>
      </c>
      <c r="E31" s="556" t="s">
        <v>22</v>
      </c>
      <c r="F31" s="557" t="s">
        <v>22</v>
      </c>
      <c r="G31" s="550">
        <v>5</v>
      </c>
      <c r="H31" s="557" t="s">
        <v>22</v>
      </c>
      <c r="I31" s="558" t="s">
        <v>22</v>
      </c>
      <c r="J31" s="558" t="s">
        <v>22</v>
      </c>
      <c r="K31" s="556" t="s">
        <v>22</v>
      </c>
      <c r="L31" s="559" t="s">
        <v>22</v>
      </c>
      <c r="M31" s="546" t="s">
        <v>100</v>
      </c>
      <c r="N31" s="547" t="s">
        <v>100</v>
      </c>
      <c r="O31" s="545" t="s">
        <v>22</v>
      </c>
    </row>
    <row r="32" spans="1:15" ht="50.1" customHeight="1" x14ac:dyDescent="0.25">
      <c r="A32" s="512">
        <f t="shared" si="0"/>
        <v>20</v>
      </c>
      <c r="B32" s="537">
        <v>44256</v>
      </c>
      <c r="C32" s="536" t="s">
        <v>171</v>
      </c>
      <c r="D32" s="555" t="s">
        <v>22</v>
      </c>
      <c r="E32" s="556" t="s">
        <v>22</v>
      </c>
      <c r="F32" s="557" t="s">
        <v>22</v>
      </c>
      <c r="G32" s="550">
        <v>5</v>
      </c>
      <c r="H32" s="557" t="s">
        <v>22</v>
      </c>
      <c r="I32" s="558" t="s">
        <v>22</v>
      </c>
      <c r="J32" s="558" t="s">
        <v>22</v>
      </c>
      <c r="K32" s="556" t="s">
        <v>22</v>
      </c>
      <c r="L32" s="559" t="s">
        <v>22</v>
      </c>
      <c r="M32" s="546" t="s">
        <v>100</v>
      </c>
      <c r="N32" s="547" t="s">
        <v>100</v>
      </c>
      <c r="O32" s="545" t="s">
        <v>22</v>
      </c>
    </row>
    <row r="33" spans="1:15" ht="50.1" customHeight="1" x14ac:dyDescent="0.25">
      <c r="A33" s="512">
        <f t="shared" si="0"/>
        <v>21</v>
      </c>
      <c r="B33" s="535">
        <v>44075</v>
      </c>
      <c r="C33" s="536" t="s">
        <v>171</v>
      </c>
      <c r="D33" s="555" t="s">
        <v>22</v>
      </c>
      <c r="E33" s="556" t="s">
        <v>22</v>
      </c>
      <c r="F33" s="557" t="s">
        <v>22</v>
      </c>
      <c r="G33" s="550">
        <v>5</v>
      </c>
      <c r="H33" s="557" t="s">
        <v>22</v>
      </c>
      <c r="I33" s="558" t="s">
        <v>22</v>
      </c>
      <c r="J33" s="558" t="s">
        <v>22</v>
      </c>
      <c r="K33" s="556" t="s">
        <v>22</v>
      </c>
      <c r="L33" s="559" t="s">
        <v>22</v>
      </c>
      <c r="M33" s="546" t="s">
        <v>100</v>
      </c>
      <c r="N33" s="547" t="s">
        <v>100</v>
      </c>
      <c r="O33" s="545" t="s">
        <v>22</v>
      </c>
    </row>
    <row r="34" spans="1:15" ht="50.1" customHeight="1" x14ac:dyDescent="0.25">
      <c r="A34" s="512">
        <f t="shared" si="0"/>
        <v>22</v>
      </c>
      <c r="B34" s="537">
        <v>44105</v>
      </c>
      <c r="C34" s="536" t="s">
        <v>174</v>
      </c>
      <c r="D34" s="555" t="s">
        <v>22</v>
      </c>
      <c r="E34" s="556" t="s">
        <v>22</v>
      </c>
      <c r="F34" s="557" t="s">
        <v>22</v>
      </c>
      <c r="G34" s="550">
        <v>5</v>
      </c>
      <c r="H34" s="557" t="s">
        <v>22</v>
      </c>
      <c r="I34" s="558" t="s">
        <v>22</v>
      </c>
      <c r="J34" s="558" t="s">
        <v>22</v>
      </c>
      <c r="K34" s="556" t="s">
        <v>22</v>
      </c>
      <c r="L34" s="559" t="s">
        <v>22</v>
      </c>
      <c r="M34" s="546" t="s">
        <v>100</v>
      </c>
      <c r="N34" s="547" t="s">
        <v>100</v>
      </c>
      <c r="O34" s="545" t="s">
        <v>22</v>
      </c>
    </row>
    <row r="35" spans="1:15" ht="50.1" customHeight="1" x14ac:dyDescent="0.25">
      <c r="A35" s="512">
        <f t="shared" si="0"/>
        <v>23</v>
      </c>
      <c r="B35" s="535">
        <v>44136</v>
      </c>
      <c r="C35" s="536" t="s">
        <v>178</v>
      </c>
      <c r="D35" s="555" t="s">
        <v>22</v>
      </c>
      <c r="E35" s="556" t="s">
        <v>22</v>
      </c>
      <c r="F35" s="557" t="s">
        <v>22</v>
      </c>
      <c r="G35" s="550">
        <v>5</v>
      </c>
      <c r="H35" s="557" t="s">
        <v>22</v>
      </c>
      <c r="I35" s="558" t="s">
        <v>22</v>
      </c>
      <c r="J35" s="558" t="s">
        <v>22</v>
      </c>
      <c r="K35" s="556" t="s">
        <v>22</v>
      </c>
      <c r="L35" s="559" t="s">
        <v>22</v>
      </c>
      <c r="M35" s="546" t="s">
        <v>100</v>
      </c>
      <c r="N35" s="547" t="s">
        <v>100</v>
      </c>
      <c r="O35" s="545" t="s">
        <v>22</v>
      </c>
    </row>
    <row r="36" spans="1:15" ht="50.1" customHeight="1" x14ac:dyDescent="0.25">
      <c r="A36" s="512">
        <f t="shared" si="0"/>
        <v>24</v>
      </c>
      <c r="B36" s="537">
        <v>44166</v>
      </c>
      <c r="C36" s="536" t="s">
        <v>181</v>
      </c>
      <c r="D36" s="555" t="s">
        <v>22</v>
      </c>
      <c r="E36" s="556" t="s">
        <v>22</v>
      </c>
      <c r="F36" s="557" t="s">
        <v>22</v>
      </c>
      <c r="G36" s="550">
        <v>5</v>
      </c>
      <c r="H36" s="557" t="s">
        <v>22</v>
      </c>
      <c r="I36" s="558" t="s">
        <v>22</v>
      </c>
      <c r="J36" s="558" t="s">
        <v>22</v>
      </c>
      <c r="K36" s="556" t="s">
        <v>22</v>
      </c>
      <c r="L36" s="559" t="s">
        <v>22</v>
      </c>
      <c r="M36" s="546" t="s">
        <v>100</v>
      </c>
      <c r="N36" s="547" t="s">
        <v>100</v>
      </c>
      <c r="O36" s="545" t="s">
        <v>22</v>
      </c>
    </row>
    <row r="37" spans="1:15" ht="50.1" customHeight="1" x14ac:dyDescent="0.25">
      <c r="A37" s="512">
        <f t="shared" si="0"/>
        <v>25</v>
      </c>
      <c r="B37" s="535">
        <v>44197</v>
      </c>
      <c r="C37" s="536" t="s">
        <v>184</v>
      </c>
      <c r="D37" s="555" t="s">
        <v>22</v>
      </c>
      <c r="E37" s="556" t="s">
        <v>22</v>
      </c>
      <c r="F37" s="557" t="s">
        <v>22</v>
      </c>
      <c r="G37" s="550">
        <v>5</v>
      </c>
      <c r="H37" s="557" t="s">
        <v>22</v>
      </c>
      <c r="I37" s="558" t="s">
        <v>22</v>
      </c>
      <c r="J37" s="558" t="s">
        <v>22</v>
      </c>
      <c r="K37" s="556" t="s">
        <v>22</v>
      </c>
      <c r="L37" s="559" t="s">
        <v>22</v>
      </c>
      <c r="M37" s="546" t="s">
        <v>100</v>
      </c>
      <c r="N37" s="547" t="s">
        <v>100</v>
      </c>
      <c r="O37" s="545" t="s">
        <v>22</v>
      </c>
    </row>
    <row r="38" spans="1:15" ht="50.1" customHeight="1" x14ac:dyDescent="0.25">
      <c r="A38" s="512">
        <f t="shared" si="0"/>
        <v>26</v>
      </c>
      <c r="B38" s="537">
        <v>44228</v>
      </c>
      <c r="C38" s="536" t="s">
        <v>187</v>
      </c>
      <c r="D38" s="555" t="s">
        <v>22</v>
      </c>
      <c r="E38" s="556" t="s">
        <v>22</v>
      </c>
      <c r="F38" s="557" t="s">
        <v>22</v>
      </c>
      <c r="G38" s="550">
        <v>5</v>
      </c>
      <c r="H38" s="557" t="s">
        <v>22</v>
      </c>
      <c r="I38" s="558" t="s">
        <v>22</v>
      </c>
      <c r="J38" s="558" t="s">
        <v>22</v>
      </c>
      <c r="K38" s="556" t="s">
        <v>22</v>
      </c>
      <c r="L38" s="559" t="s">
        <v>22</v>
      </c>
      <c r="M38" s="546" t="s">
        <v>100</v>
      </c>
      <c r="N38" s="547" t="s">
        <v>100</v>
      </c>
      <c r="O38" s="545" t="s">
        <v>22</v>
      </c>
    </row>
    <row r="39" spans="1:15" ht="50.1" customHeight="1" x14ac:dyDescent="0.25">
      <c r="A39" s="512">
        <f t="shared" si="0"/>
        <v>27</v>
      </c>
      <c r="B39" s="535">
        <v>44256</v>
      </c>
      <c r="C39" s="536" t="s">
        <v>189</v>
      </c>
      <c r="D39" s="555" t="s">
        <v>22</v>
      </c>
      <c r="E39" s="556" t="s">
        <v>22</v>
      </c>
      <c r="F39" s="557" t="s">
        <v>22</v>
      </c>
      <c r="G39" s="550">
        <v>5</v>
      </c>
      <c r="H39" s="557" t="s">
        <v>22</v>
      </c>
      <c r="I39" s="558" t="s">
        <v>22</v>
      </c>
      <c r="J39" s="558" t="s">
        <v>22</v>
      </c>
      <c r="K39" s="556" t="s">
        <v>22</v>
      </c>
      <c r="L39" s="559" t="s">
        <v>22</v>
      </c>
      <c r="M39" s="546" t="s">
        <v>100</v>
      </c>
      <c r="N39" s="547" t="s">
        <v>100</v>
      </c>
      <c r="O39" s="545" t="s">
        <v>22</v>
      </c>
    </row>
    <row r="40" spans="1:15" ht="50.1" customHeight="1" x14ac:dyDescent="0.25">
      <c r="A40" s="512">
        <f t="shared" si="0"/>
        <v>28</v>
      </c>
      <c r="B40" s="537">
        <v>44287</v>
      </c>
      <c r="C40" s="536" t="s">
        <v>191</v>
      </c>
      <c r="D40" s="555" t="s">
        <v>22</v>
      </c>
      <c r="E40" s="556" t="s">
        <v>22</v>
      </c>
      <c r="F40" s="557" t="s">
        <v>22</v>
      </c>
      <c r="G40" s="550">
        <v>5</v>
      </c>
      <c r="H40" s="557" t="s">
        <v>22</v>
      </c>
      <c r="I40" s="558" t="s">
        <v>22</v>
      </c>
      <c r="J40" s="558" t="s">
        <v>22</v>
      </c>
      <c r="K40" s="556" t="s">
        <v>22</v>
      </c>
      <c r="L40" s="559" t="s">
        <v>22</v>
      </c>
      <c r="M40" s="546" t="s">
        <v>100</v>
      </c>
      <c r="N40" s="547" t="s">
        <v>100</v>
      </c>
      <c r="O40" s="545" t="s">
        <v>22</v>
      </c>
    </row>
    <row r="41" spans="1:15" ht="50.1" customHeight="1" x14ac:dyDescent="0.25">
      <c r="A41" s="512">
        <f t="shared" si="0"/>
        <v>29</v>
      </c>
      <c r="B41" s="535">
        <v>44317</v>
      </c>
      <c r="C41" s="536" t="s">
        <v>192</v>
      </c>
      <c r="D41" s="555" t="s">
        <v>22</v>
      </c>
      <c r="E41" s="556" t="s">
        <v>22</v>
      </c>
      <c r="F41" s="557" t="s">
        <v>22</v>
      </c>
      <c r="G41" s="550">
        <v>5</v>
      </c>
      <c r="H41" s="557" t="s">
        <v>22</v>
      </c>
      <c r="I41" s="558" t="s">
        <v>22</v>
      </c>
      <c r="J41" s="558" t="s">
        <v>22</v>
      </c>
      <c r="K41" s="556" t="s">
        <v>22</v>
      </c>
      <c r="L41" s="559" t="s">
        <v>22</v>
      </c>
      <c r="M41" s="546" t="s">
        <v>100</v>
      </c>
      <c r="N41" s="547" t="s">
        <v>100</v>
      </c>
      <c r="O41" s="545" t="s">
        <v>22</v>
      </c>
    </row>
    <row r="42" spans="1:15" ht="50.1" customHeight="1" x14ac:dyDescent="0.25">
      <c r="A42" s="512">
        <f t="shared" si="0"/>
        <v>30</v>
      </c>
      <c r="B42" s="537">
        <v>44348</v>
      </c>
      <c r="C42" s="536" t="s">
        <v>171</v>
      </c>
      <c r="D42" s="555" t="s">
        <v>22</v>
      </c>
      <c r="E42" s="556" t="s">
        <v>22</v>
      </c>
      <c r="F42" s="557" t="s">
        <v>22</v>
      </c>
      <c r="G42" s="550">
        <v>5</v>
      </c>
      <c r="H42" s="557" t="s">
        <v>22</v>
      </c>
      <c r="I42" s="558" t="s">
        <v>22</v>
      </c>
      <c r="J42" s="558" t="s">
        <v>22</v>
      </c>
      <c r="K42" s="556" t="s">
        <v>22</v>
      </c>
      <c r="L42" s="559" t="s">
        <v>22</v>
      </c>
      <c r="M42" s="546" t="s">
        <v>100</v>
      </c>
      <c r="N42" s="547" t="s">
        <v>100</v>
      </c>
      <c r="O42" s="545" t="s">
        <v>22</v>
      </c>
    </row>
    <row r="43" spans="1:15" ht="50.1" customHeight="1" x14ac:dyDescent="0.25">
      <c r="A43" s="512">
        <f t="shared" si="0"/>
        <v>31</v>
      </c>
      <c r="B43" s="535">
        <v>44378</v>
      </c>
      <c r="C43" s="536" t="s">
        <v>171</v>
      </c>
      <c r="D43" s="555" t="s">
        <v>22</v>
      </c>
      <c r="E43" s="556" t="s">
        <v>22</v>
      </c>
      <c r="F43" s="557" t="s">
        <v>22</v>
      </c>
      <c r="G43" s="550">
        <v>5</v>
      </c>
      <c r="H43" s="557" t="s">
        <v>22</v>
      </c>
      <c r="I43" s="558" t="s">
        <v>22</v>
      </c>
      <c r="J43" s="558" t="s">
        <v>22</v>
      </c>
      <c r="K43" s="556" t="s">
        <v>22</v>
      </c>
      <c r="L43" s="559" t="s">
        <v>22</v>
      </c>
      <c r="M43" s="546" t="s">
        <v>100</v>
      </c>
      <c r="N43" s="547" t="s">
        <v>100</v>
      </c>
      <c r="O43" s="545" t="s">
        <v>22</v>
      </c>
    </row>
    <row r="44" spans="1:15" ht="50.1" customHeight="1" x14ac:dyDescent="0.25">
      <c r="A44" s="512">
        <f t="shared" si="0"/>
        <v>32</v>
      </c>
      <c r="B44" s="537">
        <v>44409</v>
      </c>
      <c r="C44" s="536" t="s">
        <v>174</v>
      </c>
      <c r="D44" s="555" t="s">
        <v>22</v>
      </c>
      <c r="E44" s="556" t="s">
        <v>22</v>
      </c>
      <c r="F44" s="557" t="s">
        <v>22</v>
      </c>
      <c r="G44" s="550">
        <v>5</v>
      </c>
      <c r="H44" s="557" t="s">
        <v>22</v>
      </c>
      <c r="I44" s="558" t="s">
        <v>22</v>
      </c>
      <c r="J44" s="558" t="s">
        <v>22</v>
      </c>
      <c r="K44" s="556" t="s">
        <v>22</v>
      </c>
      <c r="L44" s="559" t="s">
        <v>22</v>
      </c>
      <c r="M44" s="546" t="s">
        <v>100</v>
      </c>
      <c r="N44" s="547" t="s">
        <v>100</v>
      </c>
      <c r="O44" s="545" t="s">
        <v>22</v>
      </c>
    </row>
    <row r="45" spans="1:15" ht="50.1" customHeight="1" x14ac:dyDescent="0.25">
      <c r="A45" s="512">
        <f t="shared" si="0"/>
        <v>33</v>
      </c>
      <c r="B45" s="535">
        <v>44440</v>
      </c>
      <c r="C45" s="536" t="s">
        <v>178</v>
      </c>
      <c r="D45" s="555" t="s">
        <v>22</v>
      </c>
      <c r="E45" s="556" t="s">
        <v>22</v>
      </c>
      <c r="F45" s="557" t="s">
        <v>22</v>
      </c>
      <c r="G45" s="550">
        <v>5</v>
      </c>
      <c r="H45" s="557" t="s">
        <v>22</v>
      </c>
      <c r="I45" s="558" t="s">
        <v>22</v>
      </c>
      <c r="J45" s="558" t="s">
        <v>22</v>
      </c>
      <c r="K45" s="556" t="s">
        <v>22</v>
      </c>
      <c r="L45" s="559" t="s">
        <v>22</v>
      </c>
      <c r="M45" s="546" t="s">
        <v>100</v>
      </c>
      <c r="N45" s="547" t="s">
        <v>100</v>
      </c>
      <c r="O45" s="545" t="s">
        <v>22</v>
      </c>
    </row>
    <row r="46" spans="1:15" ht="50.1" customHeight="1" x14ac:dyDescent="0.25">
      <c r="A46" s="512">
        <f t="shared" si="0"/>
        <v>34</v>
      </c>
      <c r="B46" s="537">
        <v>44075</v>
      </c>
      <c r="C46" s="536" t="s">
        <v>181</v>
      </c>
      <c r="D46" s="555" t="s">
        <v>22</v>
      </c>
      <c r="E46" s="556" t="s">
        <v>22</v>
      </c>
      <c r="F46" s="557" t="s">
        <v>22</v>
      </c>
      <c r="G46" s="550">
        <v>5</v>
      </c>
      <c r="H46" s="557" t="s">
        <v>22</v>
      </c>
      <c r="I46" s="558" t="s">
        <v>22</v>
      </c>
      <c r="J46" s="558" t="s">
        <v>22</v>
      </c>
      <c r="K46" s="556" t="s">
        <v>22</v>
      </c>
      <c r="L46" s="559" t="s">
        <v>22</v>
      </c>
      <c r="M46" s="546" t="s">
        <v>100</v>
      </c>
      <c r="N46" s="547" t="s">
        <v>100</v>
      </c>
      <c r="O46" s="545" t="s">
        <v>22</v>
      </c>
    </row>
    <row r="47" spans="1:15" ht="50.1" customHeight="1" x14ac:dyDescent="0.25">
      <c r="A47" s="512">
        <f t="shared" si="0"/>
        <v>35</v>
      </c>
      <c r="B47" s="535">
        <v>44105</v>
      </c>
      <c r="C47" s="536" t="s">
        <v>184</v>
      </c>
      <c r="D47" s="555" t="s">
        <v>22</v>
      </c>
      <c r="E47" s="556" t="s">
        <v>22</v>
      </c>
      <c r="F47" s="557" t="s">
        <v>22</v>
      </c>
      <c r="G47" s="550">
        <v>5</v>
      </c>
      <c r="H47" s="557" t="s">
        <v>22</v>
      </c>
      <c r="I47" s="558" t="s">
        <v>22</v>
      </c>
      <c r="J47" s="558" t="s">
        <v>22</v>
      </c>
      <c r="K47" s="556" t="s">
        <v>22</v>
      </c>
      <c r="L47" s="559" t="s">
        <v>22</v>
      </c>
      <c r="M47" s="546" t="s">
        <v>100</v>
      </c>
      <c r="N47" s="547" t="s">
        <v>100</v>
      </c>
      <c r="O47" s="545" t="s">
        <v>22</v>
      </c>
    </row>
    <row r="48" spans="1:15" ht="50.1" customHeight="1" x14ac:dyDescent="0.25">
      <c r="A48" s="512">
        <f t="shared" si="0"/>
        <v>36</v>
      </c>
      <c r="B48" s="537">
        <v>44136</v>
      </c>
      <c r="C48" s="536" t="s">
        <v>187</v>
      </c>
      <c r="D48" s="555" t="s">
        <v>22</v>
      </c>
      <c r="E48" s="556" t="s">
        <v>22</v>
      </c>
      <c r="F48" s="557" t="s">
        <v>22</v>
      </c>
      <c r="G48" s="550">
        <v>5</v>
      </c>
      <c r="H48" s="557" t="s">
        <v>22</v>
      </c>
      <c r="I48" s="558" t="s">
        <v>22</v>
      </c>
      <c r="J48" s="558" t="s">
        <v>22</v>
      </c>
      <c r="K48" s="556" t="s">
        <v>22</v>
      </c>
      <c r="L48" s="559" t="s">
        <v>22</v>
      </c>
      <c r="M48" s="546" t="s">
        <v>100</v>
      </c>
      <c r="N48" s="547" t="s">
        <v>100</v>
      </c>
      <c r="O48" s="545" t="s">
        <v>22</v>
      </c>
    </row>
    <row r="49" spans="1:15" ht="50.1" customHeight="1" x14ac:dyDescent="0.25">
      <c r="A49" s="512">
        <f t="shared" si="0"/>
        <v>37</v>
      </c>
      <c r="B49" s="535">
        <v>44166</v>
      </c>
      <c r="C49" s="536" t="s">
        <v>189</v>
      </c>
      <c r="D49" s="555" t="s">
        <v>22</v>
      </c>
      <c r="E49" s="556" t="s">
        <v>22</v>
      </c>
      <c r="F49" s="557" t="s">
        <v>22</v>
      </c>
      <c r="G49" s="550">
        <v>5</v>
      </c>
      <c r="H49" s="557" t="s">
        <v>22</v>
      </c>
      <c r="I49" s="558" t="s">
        <v>22</v>
      </c>
      <c r="J49" s="558" t="s">
        <v>22</v>
      </c>
      <c r="K49" s="556" t="s">
        <v>22</v>
      </c>
      <c r="L49" s="559" t="s">
        <v>22</v>
      </c>
      <c r="M49" s="546" t="s">
        <v>100</v>
      </c>
      <c r="N49" s="547" t="s">
        <v>100</v>
      </c>
      <c r="O49" s="545" t="s">
        <v>22</v>
      </c>
    </row>
    <row r="50" spans="1:15" ht="50.1" customHeight="1" x14ac:dyDescent="0.25">
      <c r="A50" s="512">
        <f t="shared" si="0"/>
        <v>38</v>
      </c>
      <c r="B50" s="537">
        <v>44197</v>
      </c>
      <c r="C50" s="536" t="s">
        <v>191</v>
      </c>
      <c r="D50" s="555" t="s">
        <v>22</v>
      </c>
      <c r="E50" s="556" t="s">
        <v>22</v>
      </c>
      <c r="F50" s="557" t="s">
        <v>22</v>
      </c>
      <c r="G50" s="550">
        <v>5</v>
      </c>
      <c r="H50" s="557" t="s">
        <v>22</v>
      </c>
      <c r="I50" s="558" t="s">
        <v>22</v>
      </c>
      <c r="J50" s="558" t="s">
        <v>22</v>
      </c>
      <c r="K50" s="556" t="s">
        <v>22</v>
      </c>
      <c r="L50" s="559" t="s">
        <v>22</v>
      </c>
      <c r="M50" s="546" t="s">
        <v>100</v>
      </c>
      <c r="N50" s="547" t="s">
        <v>100</v>
      </c>
      <c r="O50" s="545" t="s">
        <v>22</v>
      </c>
    </row>
    <row r="51" spans="1:15" ht="50.1" customHeight="1" x14ac:dyDescent="0.25">
      <c r="A51" s="512">
        <f t="shared" si="0"/>
        <v>39</v>
      </c>
      <c r="B51" s="535">
        <v>44228</v>
      </c>
      <c r="C51" s="536" t="s">
        <v>192</v>
      </c>
      <c r="D51" s="555" t="s">
        <v>22</v>
      </c>
      <c r="E51" s="556" t="s">
        <v>22</v>
      </c>
      <c r="F51" s="557" t="s">
        <v>22</v>
      </c>
      <c r="G51" s="550">
        <v>5</v>
      </c>
      <c r="H51" s="557" t="s">
        <v>22</v>
      </c>
      <c r="I51" s="558" t="s">
        <v>22</v>
      </c>
      <c r="J51" s="558" t="s">
        <v>22</v>
      </c>
      <c r="K51" s="556" t="s">
        <v>22</v>
      </c>
      <c r="L51" s="559" t="s">
        <v>22</v>
      </c>
      <c r="M51" s="546" t="s">
        <v>100</v>
      </c>
      <c r="N51" s="547" t="s">
        <v>100</v>
      </c>
      <c r="O51" s="545" t="s">
        <v>22</v>
      </c>
    </row>
    <row r="52" spans="1:15" ht="50.1" customHeight="1" x14ac:dyDescent="0.25">
      <c r="A52" s="512">
        <f t="shared" si="0"/>
        <v>40</v>
      </c>
      <c r="B52" s="537">
        <v>44256</v>
      </c>
      <c r="C52" s="536" t="s">
        <v>171</v>
      </c>
      <c r="D52" s="555" t="s">
        <v>22</v>
      </c>
      <c r="E52" s="556" t="s">
        <v>22</v>
      </c>
      <c r="F52" s="557" t="s">
        <v>22</v>
      </c>
      <c r="G52" s="550">
        <v>5</v>
      </c>
      <c r="H52" s="557" t="s">
        <v>22</v>
      </c>
      <c r="I52" s="558" t="s">
        <v>22</v>
      </c>
      <c r="J52" s="558" t="s">
        <v>22</v>
      </c>
      <c r="K52" s="556" t="s">
        <v>22</v>
      </c>
      <c r="L52" s="559" t="s">
        <v>22</v>
      </c>
      <c r="M52" s="546" t="s">
        <v>100</v>
      </c>
      <c r="N52" s="547" t="s">
        <v>100</v>
      </c>
      <c r="O52" s="545" t="s">
        <v>22</v>
      </c>
    </row>
    <row r="53" spans="1:15" ht="50.1" customHeight="1" x14ac:dyDescent="0.25">
      <c r="A53" s="512">
        <f t="shared" si="0"/>
        <v>41</v>
      </c>
      <c r="B53" s="535">
        <v>44075</v>
      </c>
      <c r="C53" s="536" t="s">
        <v>171</v>
      </c>
      <c r="D53" s="555" t="s">
        <v>22</v>
      </c>
      <c r="E53" s="556" t="s">
        <v>22</v>
      </c>
      <c r="F53" s="557" t="s">
        <v>22</v>
      </c>
      <c r="G53" s="550">
        <v>5</v>
      </c>
      <c r="H53" s="557" t="s">
        <v>22</v>
      </c>
      <c r="I53" s="558" t="s">
        <v>22</v>
      </c>
      <c r="J53" s="558" t="s">
        <v>22</v>
      </c>
      <c r="K53" s="556" t="s">
        <v>22</v>
      </c>
      <c r="L53" s="559" t="s">
        <v>22</v>
      </c>
      <c r="M53" s="546" t="s">
        <v>100</v>
      </c>
      <c r="N53" s="547" t="s">
        <v>100</v>
      </c>
      <c r="O53" s="545" t="s">
        <v>22</v>
      </c>
    </row>
    <row r="54" spans="1:15" ht="50.1" customHeight="1" x14ac:dyDescent="0.25">
      <c r="A54" s="512">
        <f t="shared" si="0"/>
        <v>42</v>
      </c>
      <c r="B54" s="537">
        <v>44105</v>
      </c>
      <c r="C54" s="536" t="s">
        <v>174</v>
      </c>
      <c r="D54" s="555" t="s">
        <v>22</v>
      </c>
      <c r="E54" s="556" t="s">
        <v>22</v>
      </c>
      <c r="F54" s="557" t="s">
        <v>22</v>
      </c>
      <c r="G54" s="550">
        <v>5</v>
      </c>
      <c r="H54" s="557" t="s">
        <v>22</v>
      </c>
      <c r="I54" s="558" t="s">
        <v>22</v>
      </c>
      <c r="J54" s="558" t="s">
        <v>22</v>
      </c>
      <c r="K54" s="556" t="s">
        <v>22</v>
      </c>
      <c r="L54" s="559" t="s">
        <v>22</v>
      </c>
      <c r="M54" s="546" t="s">
        <v>100</v>
      </c>
      <c r="N54" s="547" t="s">
        <v>100</v>
      </c>
      <c r="O54" s="545" t="s">
        <v>22</v>
      </c>
    </row>
    <row r="55" spans="1:15" ht="50.1" customHeight="1" x14ac:dyDescent="0.25">
      <c r="A55" s="512">
        <f t="shared" si="0"/>
        <v>43</v>
      </c>
      <c r="B55" s="535">
        <v>44136</v>
      </c>
      <c r="C55" s="536" t="s">
        <v>178</v>
      </c>
      <c r="D55" s="555" t="s">
        <v>22</v>
      </c>
      <c r="E55" s="556" t="s">
        <v>22</v>
      </c>
      <c r="F55" s="557" t="s">
        <v>22</v>
      </c>
      <c r="G55" s="550">
        <v>5</v>
      </c>
      <c r="H55" s="557" t="s">
        <v>22</v>
      </c>
      <c r="I55" s="558" t="s">
        <v>22</v>
      </c>
      <c r="J55" s="558" t="s">
        <v>22</v>
      </c>
      <c r="K55" s="556" t="s">
        <v>22</v>
      </c>
      <c r="L55" s="559" t="s">
        <v>22</v>
      </c>
      <c r="M55" s="546" t="s">
        <v>100</v>
      </c>
      <c r="N55" s="547" t="s">
        <v>100</v>
      </c>
      <c r="O55" s="545" t="s">
        <v>22</v>
      </c>
    </row>
    <row r="56" spans="1:15" ht="50.1" customHeight="1" x14ac:dyDescent="0.25">
      <c r="A56" s="512">
        <f t="shared" si="0"/>
        <v>44</v>
      </c>
      <c r="B56" s="537">
        <v>44166</v>
      </c>
      <c r="C56" s="536" t="s">
        <v>181</v>
      </c>
      <c r="D56" s="555" t="s">
        <v>22</v>
      </c>
      <c r="E56" s="556" t="s">
        <v>22</v>
      </c>
      <c r="F56" s="557" t="s">
        <v>22</v>
      </c>
      <c r="G56" s="550">
        <v>5</v>
      </c>
      <c r="H56" s="557" t="s">
        <v>22</v>
      </c>
      <c r="I56" s="558" t="s">
        <v>22</v>
      </c>
      <c r="J56" s="558" t="s">
        <v>22</v>
      </c>
      <c r="K56" s="556" t="s">
        <v>22</v>
      </c>
      <c r="L56" s="559" t="s">
        <v>22</v>
      </c>
      <c r="M56" s="546" t="s">
        <v>100</v>
      </c>
      <c r="N56" s="547" t="s">
        <v>100</v>
      </c>
      <c r="O56" s="545" t="s">
        <v>22</v>
      </c>
    </row>
    <row r="57" spans="1:15" ht="50.1" customHeight="1" x14ac:dyDescent="0.25">
      <c r="A57" s="512">
        <f t="shared" si="0"/>
        <v>45</v>
      </c>
      <c r="B57" s="535">
        <v>44197</v>
      </c>
      <c r="C57" s="536" t="s">
        <v>184</v>
      </c>
      <c r="D57" s="555" t="s">
        <v>22</v>
      </c>
      <c r="E57" s="556" t="s">
        <v>22</v>
      </c>
      <c r="F57" s="557" t="s">
        <v>22</v>
      </c>
      <c r="G57" s="550">
        <v>5</v>
      </c>
      <c r="H57" s="557" t="s">
        <v>22</v>
      </c>
      <c r="I57" s="558" t="s">
        <v>22</v>
      </c>
      <c r="J57" s="558" t="s">
        <v>22</v>
      </c>
      <c r="K57" s="556" t="s">
        <v>22</v>
      </c>
      <c r="L57" s="559" t="s">
        <v>22</v>
      </c>
      <c r="M57" s="546" t="s">
        <v>100</v>
      </c>
      <c r="N57" s="547" t="s">
        <v>100</v>
      </c>
      <c r="O57" s="545" t="s">
        <v>22</v>
      </c>
    </row>
    <row r="58" spans="1:15" ht="50.1" customHeight="1" x14ac:dyDescent="0.25">
      <c r="A58" s="512">
        <f t="shared" si="0"/>
        <v>46</v>
      </c>
      <c r="B58" s="537">
        <v>44228</v>
      </c>
      <c r="C58" s="536" t="s">
        <v>187</v>
      </c>
      <c r="D58" s="555" t="s">
        <v>22</v>
      </c>
      <c r="E58" s="556" t="s">
        <v>22</v>
      </c>
      <c r="F58" s="557" t="s">
        <v>22</v>
      </c>
      <c r="G58" s="550">
        <v>5</v>
      </c>
      <c r="H58" s="557" t="s">
        <v>22</v>
      </c>
      <c r="I58" s="558" t="s">
        <v>22</v>
      </c>
      <c r="J58" s="558" t="s">
        <v>22</v>
      </c>
      <c r="K58" s="556" t="s">
        <v>22</v>
      </c>
      <c r="L58" s="559" t="s">
        <v>22</v>
      </c>
      <c r="M58" s="546" t="s">
        <v>100</v>
      </c>
      <c r="N58" s="547" t="s">
        <v>100</v>
      </c>
      <c r="O58" s="545" t="s">
        <v>22</v>
      </c>
    </row>
    <row r="59" spans="1:15" ht="50.1" customHeight="1" x14ac:dyDescent="0.25">
      <c r="A59" s="512">
        <f t="shared" si="0"/>
        <v>47</v>
      </c>
      <c r="B59" s="535">
        <v>44256</v>
      </c>
      <c r="C59" s="536" t="s">
        <v>189</v>
      </c>
      <c r="D59" s="555" t="s">
        <v>22</v>
      </c>
      <c r="E59" s="556" t="s">
        <v>22</v>
      </c>
      <c r="F59" s="557" t="s">
        <v>22</v>
      </c>
      <c r="G59" s="550">
        <v>5</v>
      </c>
      <c r="H59" s="557" t="s">
        <v>22</v>
      </c>
      <c r="I59" s="558" t="s">
        <v>22</v>
      </c>
      <c r="J59" s="558" t="s">
        <v>22</v>
      </c>
      <c r="K59" s="556" t="s">
        <v>22</v>
      </c>
      <c r="L59" s="559" t="s">
        <v>22</v>
      </c>
      <c r="M59" s="546" t="s">
        <v>100</v>
      </c>
      <c r="N59" s="547" t="s">
        <v>100</v>
      </c>
      <c r="O59" s="545" t="s">
        <v>22</v>
      </c>
    </row>
    <row r="60" spans="1:15" ht="50.1" customHeight="1" x14ac:dyDescent="0.25">
      <c r="A60" s="512">
        <f t="shared" si="0"/>
        <v>48</v>
      </c>
      <c r="B60" s="537">
        <v>44287</v>
      </c>
      <c r="C60" s="536" t="s">
        <v>191</v>
      </c>
      <c r="D60" s="555" t="s">
        <v>22</v>
      </c>
      <c r="E60" s="556" t="s">
        <v>22</v>
      </c>
      <c r="F60" s="557" t="s">
        <v>22</v>
      </c>
      <c r="G60" s="550">
        <v>5</v>
      </c>
      <c r="H60" s="557" t="s">
        <v>22</v>
      </c>
      <c r="I60" s="558" t="s">
        <v>22</v>
      </c>
      <c r="J60" s="558" t="s">
        <v>22</v>
      </c>
      <c r="K60" s="556" t="s">
        <v>22</v>
      </c>
      <c r="L60" s="559" t="s">
        <v>22</v>
      </c>
      <c r="M60" s="546" t="s">
        <v>100</v>
      </c>
      <c r="N60" s="547" t="s">
        <v>100</v>
      </c>
      <c r="O60" s="545" t="s">
        <v>22</v>
      </c>
    </row>
    <row r="61" spans="1:15" ht="50.1" customHeight="1" x14ac:dyDescent="0.25">
      <c r="A61" s="512">
        <f t="shared" si="0"/>
        <v>49</v>
      </c>
      <c r="B61" s="535">
        <v>44317</v>
      </c>
      <c r="C61" s="536" t="s">
        <v>192</v>
      </c>
      <c r="D61" s="555" t="s">
        <v>22</v>
      </c>
      <c r="E61" s="556" t="s">
        <v>22</v>
      </c>
      <c r="F61" s="557" t="s">
        <v>22</v>
      </c>
      <c r="G61" s="550">
        <v>5</v>
      </c>
      <c r="H61" s="557" t="s">
        <v>22</v>
      </c>
      <c r="I61" s="558" t="s">
        <v>22</v>
      </c>
      <c r="J61" s="558" t="s">
        <v>22</v>
      </c>
      <c r="K61" s="556" t="s">
        <v>22</v>
      </c>
      <c r="L61" s="559" t="s">
        <v>22</v>
      </c>
      <c r="M61" s="546" t="s">
        <v>100</v>
      </c>
      <c r="N61" s="547" t="s">
        <v>100</v>
      </c>
      <c r="O61" s="545" t="s">
        <v>22</v>
      </c>
    </row>
    <row r="62" spans="1:15" ht="50.1" customHeight="1" x14ac:dyDescent="0.25">
      <c r="A62" s="512">
        <f t="shared" si="0"/>
        <v>50</v>
      </c>
      <c r="B62" s="537">
        <v>44348</v>
      </c>
      <c r="C62" s="536" t="s">
        <v>171</v>
      </c>
      <c r="D62" s="555" t="s">
        <v>22</v>
      </c>
      <c r="E62" s="556" t="s">
        <v>22</v>
      </c>
      <c r="F62" s="557" t="s">
        <v>22</v>
      </c>
      <c r="G62" s="550">
        <v>5</v>
      </c>
      <c r="H62" s="557" t="s">
        <v>22</v>
      </c>
      <c r="I62" s="558" t="s">
        <v>22</v>
      </c>
      <c r="J62" s="558" t="s">
        <v>22</v>
      </c>
      <c r="K62" s="556" t="s">
        <v>22</v>
      </c>
      <c r="L62" s="559" t="s">
        <v>22</v>
      </c>
      <c r="M62" s="546" t="s">
        <v>100</v>
      </c>
      <c r="N62" s="547" t="s">
        <v>100</v>
      </c>
      <c r="O62" s="545" t="s">
        <v>22</v>
      </c>
    </row>
  </sheetData>
  <mergeCells count="18">
    <mergeCell ref="A11:K11"/>
    <mergeCell ref="A6:C6"/>
    <mergeCell ref="A7:C7"/>
    <mergeCell ref="A10:C10"/>
    <mergeCell ref="A8:C9"/>
    <mergeCell ref="I6:K6"/>
    <mergeCell ref="I7:K7"/>
    <mergeCell ref="I8:K8"/>
    <mergeCell ref="I9:K9"/>
    <mergeCell ref="I10:K10"/>
    <mergeCell ref="D8:F9"/>
    <mergeCell ref="E10:F10"/>
    <mergeCell ref="D6:F6"/>
    <mergeCell ref="D7:F7"/>
    <mergeCell ref="A2:K2"/>
    <mergeCell ref="A3:K3"/>
    <mergeCell ref="A4:K4"/>
    <mergeCell ref="A5:K5"/>
  </mergeCells>
  <dataValidations count="2">
    <dataValidation allowBlank="1" showInputMessage="1" showErrorMessage="1" prompt="Use MM/DD/YYYY format.  Leave blank until date is needed. " sqref="B13:B62" xr:uid="{781B5A5E-0F2A-4C5C-AFEB-82798DB173ED}"/>
    <dataValidation type="whole" allowBlank="1" showInputMessage="1" showErrorMessage="1" prompt="Use a number, Do NOT use alphabet. " sqref="G13:G62" xr:uid="{A57DD3D1-AEAD-4FD5-817E-D775F1B41A77}">
      <formula1>0</formula1>
      <formula2>5000</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C3D54FC3-E8D0-42E4-8F46-64661CAC9E3F}">
          <x14:formula1>
            <xm:f>'Pick List '!$E$132:$E$133</xm:f>
          </x14:formula1>
          <xm:sqref>M13:N62</xm:sqref>
        </x14:dataValidation>
        <x14:dataValidation type="list" allowBlank="1" showInputMessage="1" showErrorMessage="1" xr:uid="{D07E9401-A392-46CF-91E1-7BCD28CDAEE7}">
          <x14:formula1>
            <xm:f>'Pick List '!$Q$44:$Q$52</xm:f>
          </x14:formula1>
          <xm:sqref>C13:C62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95D5-F49F-4323-9671-7D28519666D9}">
  <sheetPr>
    <tabColor rgb="FF7030A0"/>
  </sheetPr>
  <dimension ref="A1:P63"/>
  <sheetViews>
    <sheetView topLeftCell="A11" workbookViewId="0">
      <selection activeCell="A5" sqref="A5:P5"/>
    </sheetView>
  </sheetViews>
  <sheetFormatPr defaultRowHeight="15" x14ac:dyDescent="0.25"/>
  <cols>
    <col min="1" max="1" width="4.7109375" customWidth="1"/>
    <col min="2" max="2" width="11" customWidth="1"/>
    <col min="3" max="3" width="17" customWidth="1"/>
    <col min="4" max="4" width="18.42578125" customWidth="1"/>
    <col min="5" max="5" width="16.140625" customWidth="1"/>
    <col min="6" max="6" width="16.5703125" customWidth="1"/>
    <col min="7" max="7" width="18.140625" customWidth="1"/>
    <col min="8" max="8" width="14.140625" customWidth="1"/>
    <col min="9" max="9" width="13.28515625" customWidth="1"/>
    <col min="10" max="10" width="12.140625" customWidth="1"/>
    <col min="11" max="16" width="5.7109375" customWidth="1"/>
  </cols>
  <sheetData>
    <row r="1" spans="1:16" ht="69.95" customHeight="1" x14ac:dyDescent="0.25">
      <c r="A1" s="236" t="s">
        <v>245</v>
      </c>
      <c r="B1" s="1338" t="s">
        <v>437</v>
      </c>
      <c r="C1" s="1339"/>
      <c r="D1" s="1339"/>
      <c r="E1" s="1339"/>
      <c r="F1" s="233"/>
      <c r="G1" s="233"/>
      <c r="H1" s="1355" t="s">
        <v>438</v>
      </c>
      <c r="I1" s="1356"/>
      <c r="J1" s="1356"/>
      <c r="K1" s="1356"/>
      <c r="L1" s="1356"/>
      <c r="M1" s="1356"/>
      <c r="N1" s="1356"/>
      <c r="O1" s="1356"/>
      <c r="P1" s="1356"/>
    </row>
    <row r="2" spans="1:16" ht="20.100000000000001" customHeight="1" x14ac:dyDescent="0.25">
      <c r="A2" s="1322" t="str">
        <f>'BASE GRANTEE INFO &amp; UPDATES'!A1</f>
        <v>WV Bureau for Behavioral Health and Health Facilities -Community Anti-Drug Coalitions of America and Teen Court</v>
      </c>
      <c r="B2" s="1323"/>
      <c r="C2" s="1323"/>
      <c r="D2" s="1323"/>
      <c r="E2" s="1323"/>
      <c r="F2" s="1323"/>
      <c r="G2" s="1323"/>
      <c r="H2" s="1323"/>
      <c r="I2" s="1323"/>
      <c r="J2" s="1323"/>
      <c r="K2" s="1323"/>
      <c r="L2" s="1323"/>
      <c r="M2" s="1323"/>
      <c r="N2" s="1323"/>
      <c r="O2" s="1323"/>
      <c r="P2" s="1323"/>
    </row>
    <row r="3" spans="1:16" ht="20.100000000000001" customHeight="1" x14ac:dyDescent="0.25">
      <c r="A3" s="1324" t="str">
        <f>'BASE GRANTEE INFO &amp; UPDATES'!A2</f>
        <v>FISCAL YEAR: 2025 (09/30/2024 - 09/29/2025)</v>
      </c>
      <c r="B3" s="1325"/>
      <c r="C3" s="1325"/>
      <c r="D3" s="1325"/>
      <c r="E3" s="1325"/>
      <c r="F3" s="1325"/>
      <c r="G3" s="1325"/>
      <c r="H3" s="1325"/>
      <c r="I3" s="1325"/>
      <c r="J3" s="1325"/>
      <c r="K3" s="1325"/>
      <c r="L3" s="1325"/>
      <c r="M3" s="1325"/>
      <c r="N3" s="1325"/>
      <c r="O3" s="1325"/>
      <c r="P3" s="1325"/>
    </row>
    <row r="4" spans="1:16" ht="20.100000000000001" customHeight="1" x14ac:dyDescent="0.25">
      <c r="A4" s="1326" t="str">
        <f>'BASE GRANTEE INFO &amp; UPDATES'!A3</f>
        <v xml:space="preserve">Program reports need to be submitted electronically, via e-mail to BBHReporting@wv.gov  within 25 calendar days of the end of each month </v>
      </c>
      <c r="B4" s="1327"/>
      <c r="C4" s="1327"/>
      <c r="D4" s="1327"/>
      <c r="E4" s="1327"/>
      <c r="F4" s="1327"/>
      <c r="G4" s="1327"/>
      <c r="H4" s="1327"/>
      <c r="I4" s="1327"/>
      <c r="J4" s="1327"/>
      <c r="K4" s="1327"/>
      <c r="L4" s="1327"/>
      <c r="M4" s="1327"/>
      <c r="N4" s="1327"/>
      <c r="O4" s="1327"/>
      <c r="P4" s="1327"/>
    </row>
    <row r="5" spans="1:16" ht="20.25" customHeight="1" x14ac:dyDescent="0.25">
      <c r="A5" s="1328" t="s">
        <v>457</v>
      </c>
      <c r="B5" s="1329"/>
      <c r="C5" s="1329"/>
      <c r="D5" s="1329"/>
      <c r="E5" s="1329"/>
      <c r="F5" s="1329"/>
      <c r="G5" s="1329"/>
      <c r="H5" s="1329"/>
      <c r="I5" s="1329"/>
      <c r="J5" s="1329"/>
      <c r="K5" s="1329"/>
      <c r="L5" s="1329"/>
      <c r="M5" s="1329"/>
      <c r="N5" s="1329"/>
      <c r="O5" s="1329"/>
      <c r="P5" s="1330"/>
    </row>
    <row r="6" spans="1:16" ht="19.5" customHeight="1" x14ac:dyDescent="0.25">
      <c r="A6" s="1331" t="s">
        <v>263</v>
      </c>
      <c r="B6" s="1331"/>
      <c r="C6" s="1331"/>
      <c r="D6" s="1331"/>
      <c r="E6" s="1332" t="str">
        <f>'BASE GRANTEE INFO &amp; UPDATES'!E5</f>
        <v xml:space="preserve">Community Anti-Drug Coalitions of America (CADCA) and Teen Court </v>
      </c>
      <c r="F6" s="1332"/>
      <c r="G6" s="1332"/>
      <c r="H6" s="1333" t="s">
        <v>1</v>
      </c>
      <c r="I6" s="1334"/>
      <c r="J6" s="1335">
        <f>'BASE GRANTEE INFO &amp; UPDATES'!M5</f>
        <v>0</v>
      </c>
      <c r="K6" s="1336"/>
      <c r="L6" s="1336"/>
      <c r="M6" s="1336"/>
      <c r="N6" s="1336"/>
      <c r="O6" s="1336"/>
      <c r="P6" s="1337"/>
    </row>
    <row r="7" spans="1:16" x14ac:dyDescent="0.25">
      <c r="A7" s="1341" t="s">
        <v>432</v>
      </c>
      <c r="B7" s="1341"/>
      <c r="C7" s="1341"/>
      <c r="D7" s="1341"/>
      <c r="E7" s="1342" t="str">
        <f>'BASE GRANTEE INFO &amp; UPDATES'!E6</f>
        <v>CADCA In Action and Teen Court</v>
      </c>
      <c r="F7" s="1342"/>
      <c r="G7" s="1342"/>
      <c r="H7" s="1343" t="s">
        <v>265</v>
      </c>
      <c r="I7" s="1344"/>
      <c r="J7" s="1345">
        <f>'BASE GRANTEE INFO &amp; UPDATES'!M6</f>
        <v>0</v>
      </c>
      <c r="K7" s="1346"/>
      <c r="L7" s="1346"/>
      <c r="M7" s="1346"/>
      <c r="N7" s="1346"/>
      <c r="O7" s="1346"/>
      <c r="P7" s="1347"/>
    </row>
    <row r="8" spans="1:16" ht="15" customHeight="1" x14ac:dyDescent="0.25">
      <c r="A8" s="1348" t="s">
        <v>266</v>
      </c>
      <c r="B8" s="1348"/>
      <c r="C8" s="1348"/>
      <c r="D8" s="1348"/>
      <c r="E8" s="1349">
        <f>'BASE GRANTEE INFO &amp; UPDATES'!E7</f>
        <v>0</v>
      </c>
      <c r="F8" s="1349"/>
      <c r="G8" s="1349"/>
      <c r="H8" s="1350" t="s">
        <v>267</v>
      </c>
      <c r="I8" s="1351"/>
      <c r="J8" s="1352">
        <f>'BASE GRANTEE INFO &amp; UPDATES'!M7</f>
        <v>0</v>
      </c>
      <c r="K8" s="1353"/>
      <c r="L8" s="1353"/>
      <c r="M8" s="1353"/>
      <c r="N8" s="1353"/>
      <c r="O8" s="1353"/>
      <c r="P8" s="1354"/>
    </row>
    <row r="9" spans="1:16" x14ac:dyDescent="0.25">
      <c r="A9" s="1348"/>
      <c r="B9" s="1348"/>
      <c r="C9" s="1348"/>
      <c r="D9" s="1348"/>
      <c r="E9" s="1349"/>
      <c r="F9" s="1349"/>
      <c r="G9" s="1349"/>
      <c r="H9" s="1350" t="s">
        <v>268</v>
      </c>
      <c r="I9" s="1351"/>
      <c r="J9" s="1352">
        <f>'BASE GRANTEE INFO &amp; UPDATES'!M8</f>
        <v>0</v>
      </c>
      <c r="K9" s="1353"/>
      <c r="L9" s="1353"/>
      <c r="M9" s="1353"/>
      <c r="N9" s="1353"/>
      <c r="O9" s="1353"/>
      <c r="P9" s="1354"/>
    </row>
    <row r="10" spans="1:16" x14ac:dyDescent="0.25">
      <c r="A10" s="1333" t="s">
        <v>433</v>
      </c>
      <c r="B10" s="1340"/>
      <c r="C10" s="1340"/>
      <c r="D10" s="1340"/>
      <c r="E10" s="1340"/>
      <c r="F10" s="1340"/>
      <c r="G10" s="1340"/>
      <c r="H10" s="1340"/>
      <c r="I10" s="1340"/>
      <c r="J10" s="1340"/>
      <c r="K10" s="1340"/>
      <c r="L10" s="1340"/>
      <c r="M10" s="1340"/>
      <c r="N10" s="1340"/>
      <c r="O10" s="1340"/>
      <c r="P10" s="1334"/>
    </row>
    <row r="11" spans="1:16" ht="18.75" customHeight="1" x14ac:dyDescent="0.25">
      <c r="A11" s="1328" t="s">
        <v>486</v>
      </c>
      <c r="B11" s="1329"/>
      <c r="C11" s="1329"/>
      <c r="D11" s="1329"/>
      <c r="E11" s="1329"/>
      <c r="F11" s="1329"/>
      <c r="G11" s="1329"/>
      <c r="H11" s="1329"/>
      <c r="I11" s="1329"/>
      <c r="J11" s="1329"/>
      <c r="K11" s="1329"/>
      <c r="L11" s="1329"/>
      <c r="M11" s="1329"/>
      <c r="N11" s="1329"/>
      <c r="O11" s="1329"/>
      <c r="P11" s="1330"/>
    </row>
    <row r="12" spans="1:16" ht="60" customHeight="1" x14ac:dyDescent="0.25">
      <c r="A12" s="236" t="s">
        <v>245</v>
      </c>
      <c r="B12" s="1338" t="s">
        <v>437</v>
      </c>
      <c r="C12" s="1339"/>
      <c r="D12" s="1339"/>
      <c r="E12" s="1339"/>
      <c r="F12" s="233"/>
      <c r="G12" s="233"/>
      <c r="H12" s="1355" t="s">
        <v>438</v>
      </c>
      <c r="I12" s="1356"/>
      <c r="J12" s="1356"/>
      <c r="K12" s="1356"/>
      <c r="L12" s="1356"/>
      <c r="M12" s="1356"/>
      <c r="N12" s="1356"/>
      <c r="O12" s="1356"/>
      <c r="P12" s="1356"/>
    </row>
    <row r="13" spans="1:16" ht="45" x14ac:dyDescent="0.25">
      <c r="A13" s="237" t="s">
        <v>245</v>
      </c>
      <c r="B13" s="241" t="s">
        <v>439</v>
      </c>
      <c r="C13" s="238" t="s">
        <v>440</v>
      </c>
      <c r="D13" s="243" t="s">
        <v>441</v>
      </c>
      <c r="E13" s="294" t="s">
        <v>442</v>
      </c>
      <c r="F13" s="234"/>
      <c r="G13" s="234"/>
      <c r="H13" s="244" t="s">
        <v>443</v>
      </c>
      <c r="I13" s="238" t="s">
        <v>444</v>
      </c>
      <c r="J13" s="1360" t="s">
        <v>262</v>
      </c>
      <c r="K13" s="1361"/>
      <c r="L13" s="1361"/>
      <c r="M13" s="1361"/>
      <c r="N13" s="1361"/>
      <c r="O13" s="1361"/>
      <c r="P13" s="1361"/>
    </row>
    <row r="14" spans="1:16" ht="39.950000000000003" customHeight="1" x14ac:dyDescent="0.25">
      <c r="A14" s="239">
        <f>ROW(A1)</f>
        <v>1</v>
      </c>
      <c r="B14" s="242">
        <v>43709</v>
      </c>
      <c r="C14" s="240">
        <v>1</v>
      </c>
      <c r="D14" s="296" t="s">
        <v>22</v>
      </c>
      <c r="E14" s="295" t="s">
        <v>100</v>
      </c>
      <c r="F14" s="235"/>
      <c r="G14" s="235"/>
      <c r="H14" s="242">
        <v>43709</v>
      </c>
      <c r="I14" s="240">
        <v>1</v>
      </c>
      <c r="J14" s="1357" t="s">
        <v>22</v>
      </c>
      <c r="K14" s="1358"/>
      <c r="L14" s="1358"/>
      <c r="M14" s="1358"/>
      <c r="N14" s="1358"/>
      <c r="O14" s="1358"/>
      <c r="P14" s="1359"/>
    </row>
    <row r="15" spans="1:16" ht="39.950000000000003" customHeight="1" x14ac:dyDescent="0.25">
      <c r="A15" s="239">
        <f t="shared" ref="A15:A63" si="0">ROW(A2)</f>
        <v>2</v>
      </c>
      <c r="B15" s="242">
        <v>43739</v>
      </c>
      <c r="C15" s="240">
        <v>2</v>
      </c>
      <c r="D15" s="296" t="s">
        <v>22</v>
      </c>
      <c r="E15" s="295" t="s">
        <v>104</v>
      </c>
      <c r="F15" s="235"/>
      <c r="G15" s="235"/>
      <c r="H15" s="242">
        <v>43739</v>
      </c>
      <c r="I15" s="240">
        <v>1</v>
      </c>
      <c r="J15" s="1357" t="s">
        <v>22</v>
      </c>
      <c r="K15" s="1358"/>
      <c r="L15" s="1358"/>
      <c r="M15" s="1358"/>
      <c r="N15" s="1358"/>
      <c r="O15" s="1358"/>
      <c r="P15" s="1359"/>
    </row>
    <row r="16" spans="1:16" ht="39.950000000000003" customHeight="1" x14ac:dyDescent="0.25">
      <c r="A16" s="239">
        <f t="shared" si="0"/>
        <v>3</v>
      </c>
      <c r="B16" s="242">
        <v>43770</v>
      </c>
      <c r="C16" s="240">
        <v>3</v>
      </c>
      <c r="D16" s="296" t="s">
        <v>22</v>
      </c>
      <c r="E16" s="295" t="s">
        <v>100</v>
      </c>
      <c r="F16" s="235"/>
      <c r="G16" s="235"/>
      <c r="H16" s="242">
        <v>43770</v>
      </c>
      <c r="I16" s="240">
        <v>1</v>
      </c>
      <c r="J16" s="1357" t="s">
        <v>22</v>
      </c>
      <c r="K16" s="1358"/>
      <c r="L16" s="1358"/>
      <c r="M16" s="1358"/>
      <c r="N16" s="1358"/>
      <c r="O16" s="1358"/>
      <c r="P16" s="1359"/>
    </row>
    <row r="17" spans="1:16" ht="39.950000000000003" customHeight="1" x14ac:dyDescent="0.25">
      <c r="A17" s="239">
        <f t="shared" si="0"/>
        <v>4</v>
      </c>
      <c r="B17" s="242">
        <v>43800</v>
      </c>
      <c r="C17" s="240">
        <v>1</v>
      </c>
      <c r="D17" s="296" t="s">
        <v>22</v>
      </c>
      <c r="E17" s="295" t="s">
        <v>104</v>
      </c>
      <c r="F17" s="235"/>
      <c r="G17" s="235"/>
      <c r="H17" s="242">
        <v>43800</v>
      </c>
      <c r="I17" s="240">
        <v>1</v>
      </c>
      <c r="J17" s="1357" t="s">
        <v>22</v>
      </c>
      <c r="K17" s="1358"/>
      <c r="L17" s="1358"/>
      <c r="M17" s="1358"/>
      <c r="N17" s="1358"/>
      <c r="O17" s="1358"/>
      <c r="P17" s="1359"/>
    </row>
    <row r="18" spans="1:16" ht="39.950000000000003" customHeight="1" x14ac:dyDescent="0.25">
      <c r="A18" s="239">
        <f t="shared" si="0"/>
        <v>5</v>
      </c>
      <c r="B18" s="242">
        <v>43831</v>
      </c>
      <c r="C18" s="240">
        <v>2</v>
      </c>
      <c r="D18" s="296" t="s">
        <v>22</v>
      </c>
      <c r="E18" s="295" t="s">
        <v>100</v>
      </c>
      <c r="F18" s="235"/>
      <c r="G18" s="235"/>
      <c r="H18" s="242">
        <v>43831</v>
      </c>
      <c r="I18" s="240">
        <v>1</v>
      </c>
      <c r="J18" s="1357" t="s">
        <v>22</v>
      </c>
      <c r="K18" s="1358"/>
      <c r="L18" s="1358"/>
      <c r="M18" s="1358"/>
      <c r="N18" s="1358"/>
      <c r="O18" s="1358"/>
      <c r="P18" s="1359"/>
    </row>
    <row r="19" spans="1:16" ht="39.950000000000003" customHeight="1" x14ac:dyDescent="0.25">
      <c r="A19" s="239">
        <f t="shared" si="0"/>
        <v>6</v>
      </c>
      <c r="B19" s="242">
        <v>43862</v>
      </c>
      <c r="C19" s="240">
        <v>3</v>
      </c>
      <c r="D19" s="296" t="s">
        <v>22</v>
      </c>
      <c r="E19" s="295" t="s">
        <v>104</v>
      </c>
      <c r="F19" s="235"/>
      <c r="G19" s="235"/>
      <c r="H19" s="242">
        <v>43862</v>
      </c>
      <c r="I19" s="240">
        <v>1</v>
      </c>
      <c r="J19" s="1357" t="s">
        <v>22</v>
      </c>
      <c r="K19" s="1358"/>
      <c r="L19" s="1358"/>
      <c r="M19" s="1358"/>
      <c r="N19" s="1358"/>
      <c r="O19" s="1358"/>
      <c r="P19" s="1359"/>
    </row>
    <row r="20" spans="1:16" ht="39.950000000000003" customHeight="1" x14ac:dyDescent="0.25">
      <c r="A20" s="239">
        <f t="shared" si="0"/>
        <v>7</v>
      </c>
      <c r="B20" s="242">
        <v>43891</v>
      </c>
      <c r="C20" s="240">
        <v>1</v>
      </c>
      <c r="D20" s="296" t="s">
        <v>22</v>
      </c>
      <c r="E20" s="295" t="s">
        <v>100</v>
      </c>
      <c r="F20" s="235"/>
      <c r="G20" s="235"/>
      <c r="H20" s="242">
        <v>43891</v>
      </c>
      <c r="I20" s="240">
        <v>1</v>
      </c>
      <c r="J20" s="1357" t="s">
        <v>22</v>
      </c>
      <c r="K20" s="1358"/>
      <c r="L20" s="1358"/>
      <c r="M20" s="1358"/>
      <c r="N20" s="1358"/>
      <c r="O20" s="1358"/>
      <c r="P20" s="1359"/>
    </row>
    <row r="21" spans="1:16" ht="39.950000000000003" customHeight="1" x14ac:dyDescent="0.25">
      <c r="A21" s="239">
        <f t="shared" si="0"/>
        <v>8</v>
      </c>
      <c r="B21" s="242">
        <v>43922</v>
      </c>
      <c r="C21" s="240">
        <v>2</v>
      </c>
      <c r="D21" s="296" t="s">
        <v>22</v>
      </c>
      <c r="E21" s="295" t="s">
        <v>104</v>
      </c>
      <c r="F21" s="235"/>
      <c r="G21" s="235"/>
      <c r="H21" s="242">
        <v>43922</v>
      </c>
      <c r="I21" s="240">
        <v>1</v>
      </c>
      <c r="J21" s="1357" t="s">
        <v>22</v>
      </c>
      <c r="K21" s="1358"/>
      <c r="L21" s="1358"/>
      <c r="M21" s="1358"/>
      <c r="N21" s="1358"/>
      <c r="O21" s="1358"/>
      <c r="P21" s="1359"/>
    </row>
    <row r="22" spans="1:16" ht="39.950000000000003" customHeight="1" x14ac:dyDescent="0.25">
      <c r="A22" s="239">
        <f t="shared" si="0"/>
        <v>9</v>
      </c>
      <c r="B22" s="242">
        <v>43952</v>
      </c>
      <c r="C22" s="240">
        <v>3</v>
      </c>
      <c r="D22" s="296" t="s">
        <v>22</v>
      </c>
      <c r="E22" s="295" t="s">
        <v>100</v>
      </c>
      <c r="F22" s="235"/>
      <c r="G22" s="235"/>
      <c r="H22" s="242">
        <v>43952</v>
      </c>
      <c r="I22" s="240">
        <v>1</v>
      </c>
      <c r="J22" s="1357" t="s">
        <v>22</v>
      </c>
      <c r="K22" s="1358"/>
      <c r="L22" s="1358"/>
      <c r="M22" s="1358"/>
      <c r="N22" s="1358"/>
      <c r="O22" s="1358"/>
      <c r="P22" s="1359"/>
    </row>
    <row r="23" spans="1:16" ht="39.950000000000003" customHeight="1" x14ac:dyDescent="0.25">
      <c r="A23" s="239">
        <f t="shared" si="0"/>
        <v>10</v>
      </c>
      <c r="B23" s="242">
        <v>43983</v>
      </c>
      <c r="C23" s="240">
        <v>1</v>
      </c>
      <c r="D23" s="296" t="s">
        <v>22</v>
      </c>
      <c r="E23" s="295" t="s">
        <v>104</v>
      </c>
      <c r="F23" s="235"/>
      <c r="G23" s="235"/>
      <c r="H23" s="242">
        <v>43983</v>
      </c>
      <c r="I23" s="240">
        <v>1</v>
      </c>
      <c r="J23" s="1357" t="s">
        <v>22</v>
      </c>
      <c r="K23" s="1358"/>
      <c r="L23" s="1358"/>
      <c r="M23" s="1358"/>
      <c r="N23" s="1358"/>
      <c r="O23" s="1358"/>
      <c r="P23" s="1359"/>
    </row>
    <row r="24" spans="1:16" ht="39.950000000000003" customHeight="1" x14ac:dyDescent="0.25">
      <c r="A24" s="239">
        <f t="shared" si="0"/>
        <v>11</v>
      </c>
      <c r="B24" s="242">
        <v>44013</v>
      </c>
      <c r="C24" s="240">
        <v>1</v>
      </c>
      <c r="D24" s="296" t="s">
        <v>22</v>
      </c>
      <c r="E24" s="295" t="s">
        <v>100</v>
      </c>
      <c r="F24" s="235"/>
      <c r="G24" s="235"/>
      <c r="H24" s="242">
        <v>44013</v>
      </c>
      <c r="I24" s="240">
        <v>1</v>
      </c>
      <c r="J24" s="1357" t="s">
        <v>22</v>
      </c>
      <c r="K24" s="1358"/>
      <c r="L24" s="1358"/>
      <c r="M24" s="1358"/>
      <c r="N24" s="1358"/>
      <c r="O24" s="1358"/>
      <c r="P24" s="1359"/>
    </row>
    <row r="25" spans="1:16" ht="39.950000000000003" customHeight="1" x14ac:dyDescent="0.25">
      <c r="A25" s="239">
        <f t="shared" si="0"/>
        <v>12</v>
      </c>
      <c r="B25" s="242">
        <v>44044</v>
      </c>
      <c r="C25" s="240">
        <v>2</v>
      </c>
      <c r="D25" s="296" t="s">
        <v>22</v>
      </c>
      <c r="E25" s="295" t="s">
        <v>104</v>
      </c>
      <c r="F25" s="235"/>
      <c r="G25" s="235"/>
      <c r="H25" s="242">
        <v>44044</v>
      </c>
      <c r="I25" s="240">
        <v>1</v>
      </c>
      <c r="J25" s="1357" t="s">
        <v>22</v>
      </c>
      <c r="K25" s="1358"/>
      <c r="L25" s="1358"/>
      <c r="M25" s="1358"/>
      <c r="N25" s="1358"/>
      <c r="O25" s="1358"/>
      <c r="P25" s="1359"/>
    </row>
    <row r="26" spans="1:16" ht="39.950000000000003" customHeight="1" x14ac:dyDescent="0.25">
      <c r="A26" s="239">
        <f t="shared" si="0"/>
        <v>13</v>
      </c>
      <c r="B26" s="242">
        <v>44075</v>
      </c>
      <c r="C26" s="240">
        <v>3</v>
      </c>
      <c r="D26" s="296" t="s">
        <v>22</v>
      </c>
      <c r="E26" s="295" t="s">
        <v>100</v>
      </c>
      <c r="F26" s="235"/>
      <c r="G26" s="235"/>
      <c r="H26" s="242">
        <v>44075</v>
      </c>
      <c r="I26" s="240">
        <v>1</v>
      </c>
      <c r="J26" s="1357" t="s">
        <v>22</v>
      </c>
      <c r="K26" s="1358"/>
      <c r="L26" s="1358"/>
      <c r="M26" s="1358"/>
      <c r="N26" s="1358"/>
      <c r="O26" s="1358"/>
      <c r="P26" s="1359"/>
    </row>
    <row r="27" spans="1:16" ht="39.950000000000003" customHeight="1" x14ac:dyDescent="0.25">
      <c r="A27" s="239">
        <f t="shared" si="0"/>
        <v>14</v>
      </c>
      <c r="B27" s="242">
        <v>44105</v>
      </c>
      <c r="C27" s="240">
        <v>1</v>
      </c>
      <c r="D27" s="296" t="s">
        <v>22</v>
      </c>
      <c r="E27" s="295" t="s">
        <v>104</v>
      </c>
      <c r="F27" s="235"/>
      <c r="G27" s="235"/>
      <c r="H27" s="242">
        <v>44105</v>
      </c>
      <c r="I27" s="240">
        <v>1</v>
      </c>
      <c r="J27" s="1357" t="s">
        <v>22</v>
      </c>
      <c r="K27" s="1358"/>
      <c r="L27" s="1358"/>
      <c r="M27" s="1358"/>
      <c r="N27" s="1358"/>
      <c r="O27" s="1358"/>
      <c r="P27" s="1359"/>
    </row>
    <row r="28" spans="1:16" ht="39.950000000000003" customHeight="1" x14ac:dyDescent="0.25">
      <c r="A28" s="239">
        <f t="shared" si="0"/>
        <v>15</v>
      </c>
      <c r="B28" s="242">
        <v>43435</v>
      </c>
      <c r="C28" s="240">
        <v>2</v>
      </c>
      <c r="D28" s="296" t="s">
        <v>22</v>
      </c>
      <c r="E28" s="295" t="s">
        <v>100</v>
      </c>
      <c r="F28" s="235"/>
      <c r="G28" s="235"/>
      <c r="H28" s="242">
        <v>43435</v>
      </c>
      <c r="I28" s="240">
        <v>1</v>
      </c>
      <c r="J28" s="1357" t="s">
        <v>22</v>
      </c>
      <c r="K28" s="1358"/>
      <c r="L28" s="1358"/>
      <c r="M28" s="1358"/>
      <c r="N28" s="1358"/>
      <c r="O28" s="1358"/>
      <c r="P28" s="1359"/>
    </row>
    <row r="29" spans="1:16" ht="39.950000000000003" customHeight="1" x14ac:dyDescent="0.25">
      <c r="A29" s="239">
        <f t="shared" si="0"/>
        <v>16</v>
      </c>
      <c r="B29" s="242">
        <v>43709</v>
      </c>
      <c r="C29" s="240">
        <v>3</v>
      </c>
      <c r="D29" s="296" t="s">
        <v>22</v>
      </c>
      <c r="E29" s="295" t="s">
        <v>104</v>
      </c>
      <c r="F29" s="235"/>
      <c r="G29" s="235"/>
      <c r="H29" s="242">
        <v>43709</v>
      </c>
      <c r="I29" s="240">
        <v>1</v>
      </c>
      <c r="J29" s="1357" t="s">
        <v>22</v>
      </c>
      <c r="K29" s="1358"/>
      <c r="L29" s="1358"/>
      <c r="M29" s="1358"/>
      <c r="N29" s="1358"/>
      <c r="O29" s="1358"/>
      <c r="P29" s="1359"/>
    </row>
    <row r="30" spans="1:16" ht="39.950000000000003" customHeight="1" x14ac:dyDescent="0.25">
      <c r="A30" s="239">
        <f t="shared" si="0"/>
        <v>17</v>
      </c>
      <c r="B30" s="242">
        <v>43739</v>
      </c>
      <c r="C30" s="240">
        <v>1</v>
      </c>
      <c r="D30" s="296" t="s">
        <v>22</v>
      </c>
      <c r="E30" s="295" t="s">
        <v>100</v>
      </c>
      <c r="F30" s="235"/>
      <c r="G30" s="235"/>
      <c r="H30" s="242">
        <v>43739</v>
      </c>
      <c r="I30" s="240">
        <v>1</v>
      </c>
      <c r="J30" s="1357" t="s">
        <v>22</v>
      </c>
      <c r="K30" s="1358"/>
      <c r="L30" s="1358"/>
      <c r="M30" s="1358"/>
      <c r="N30" s="1358"/>
      <c r="O30" s="1358"/>
      <c r="P30" s="1359"/>
    </row>
    <row r="31" spans="1:16" ht="39.950000000000003" customHeight="1" x14ac:dyDescent="0.25">
      <c r="A31" s="239">
        <f t="shared" si="0"/>
        <v>18</v>
      </c>
      <c r="B31" s="242">
        <v>43770</v>
      </c>
      <c r="C31" s="240">
        <v>2</v>
      </c>
      <c r="D31" s="296" t="s">
        <v>22</v>
      </c>
      <c r="E31" s="295" t="s">
        <v>104</v>
      </c>
      <c r="F31" s="235"/>
      <c r="G31" s="235"/>
      <c r="H31" s="242">
        <v>43770</v>
      </c>
      <c r="I31" s="240">
        <v>1</v>
      </c>
      <c r="J31" s="1357" t="s">
        <v>22</v>
      </c>
      <c r="K31" s="1358"/>
      <c r="L31" s="1358"/>
      <c r="M31" s="1358"/>
      <c r="N31" s="1358"/>
      <c r="O31" s="1358"/>
      <c r="P31" s="1359"/>
    </row>
    <row r="32" spans="1:16" ht="39.950000000000003" customHeight="1" x14ac:dyDescent="0.25">
      <c r="A32" s="239">
        <f t="shared" si="0"/>
        <v>19</v>
      </c>
      <c r="B32" s="242">
        <v>43800</v>
      </c>
      <c r="C32" s="240">
        <v>3</v>
      </c>
      <c r="D32" s="296" t="s">
        <v>22</v>
      </c>
      <c r="E32" s="295" t="s">
        <v>100</v>
      </c>
      <c r="F32" s="235"/>
      <c r="G32" s="235"/>
      <c r="H32" s="242">
        <v>43800</v>
      </c>
      <c r="I32" s="240">
        <v>1</v>
      </c>
      <c r="J32" s="1357" t="s">
        <v>22</v>
      </c>
      <c r="K32" s="1358"/>
      <c r="L32" s="1358"/>
      <c r="M32" s="1358"/>
      <c r="N32" s="1358"/>
      <c r="O32" s="1358"/>
      <c r="P32" s="1359"/>
    </row>
    <row r="33" spans="1:16" ht="39.950000000000003" customHeight="1" x14ac:dyDescent="0.25">
      <c r="A33" s="239">
        <f t="shared" si="0"/>
        <v>20</v>
      </c>
      <c r="B33" s="242">
        <v>43831</v>
      </c>
      <c r="C33" s="240">
        <v>1</v>
      </c>
      <c r="D33" s="296" t="s">
        <v>22</v>
      </c>
      <c r="E33" s="295" t="s">
        <v>104</v>
      </c>
      <c r="F33" s="235"/>
      <c r="G33" s="235"/>
      <c r="H33" s="242">
        <v>43831</v>
      </c>
      <c r="I33" s="240">
        <v>1</v>
      </c>
      <c r="J33" s="1357" t="s">
        <v>22</v>
      </c>
      <c r="K33" s="1358"/>
      <c r="L33" s="1358"/>
      <c r="M33" s="1358"/>
      <c r="N33" s="1358"/>
      <c r="O33" s="1358"/>
      <c r="P33" s="1359"/>
    </row>
    <row r="34" spans="1:16" ht="39.950000000000003" customHeight="1" x14ac:dyDescent="0.25">
      <c r="A34" s="239">
        <f t="shared" si="0"/>
        <v>21</v>
      </c>
      <c r="B34" s="242">
        <v>43862</v>
      </c>
      <c r="C34" s="240">
        <v>1</v>
      </c>
      <c r="D34" s="296" t="s">
        <v>22</v>
      </c>
      <c r="E34" s="295" t="s">
        <v>100</v>
      </c>
      <c r="F34" s="235"/>
      <c r="G34" s="235"/>
      <c r="H34" s="242">
        <v>43862</v>
      </c>
      <c r="I34" s="240">
        <v>1</v>
      </c>
      <c r="J34" s="1357" t="s">
        <v>22</v>
      </c>
      <c r="K34" s="1358"/>
      <c r="L34" s="1358"/>
      <c r="M34" s="1358"/>
      <c r="N34" s="1358"/>
      <c r="O34" s="1358"/>
      <c r="P34" s="1359"/>
    </row>
    <row r="35" spans="1:16" ht="39.950000000000003" customHeight="1" x14ac:dyDescent="0.25">
      <c r="A35" s="239">
        <f t="shared" si="0"/>
        <v>22</v>
      </c>
      <c r="B35" s="242">
        <v>43891</v>
      </c>
      <c r="C35" s="240">
        <v>2</v>
      </c>
      <c r="D35" s="296" t="s">
        <v>22</v>
      </c>
      <c r="E35" s="295" t="s">
        <v>104</v>
      </c>
      <c r="F35" s="235"/>
      <c r="G35" s="235"/>
      <c r="H35" s="242">
        <v>43891</v>
      </c>
      <c r="I35" s="240">
        <v>1</v>
      </c>
      <c r="J35" s="1357" t="s">
        <v>22</v>
      </c>
      <c r="K35" s="1358"/>
      <c r="L35" s="1358"/>
      <c r="M35" s="1358"/>
      <c r="N35" s="1358"/>
      <c r="O35" s="1358"/>
      <c r="P35" s="1359"/>
    </row>
    <row r="36" spans="1:16" ht="39.950000000000003" customHeight="1" x14ac:dyDescent="0.25">
      <c r="A36" s="239">
        <f t="shared" si="0"/>
        <v>23</v>
      </c>
      <c r="B36" s="242">
        <v>43922</v>
      </c>
      <c r="C36" s="240">
        <v>3</v>
      </c>
      <c r="D36" s="296" t="s">
        <v>22</v>
      </c>
      <c r="E36" s="295" t="s">
        <v>100</v>
      </c>
      <c r="F36" s="235"/>
      <c r="G36" s="235"/>
      <c r="H36" s="242">
        <v>43922</v>
      </c>
      <c r="I36" s="240">
        <v>1</v>
      </c>
      <c r="J36" s="1357" t="s">
        <v>22</v>
      </c>
      <c r="K36" s="1358"/>
      <c r="L36" s="1358"/>
      <c r="M36" s="1358"/>
      <c r="N36" s="1358"/>
      <c r="O36" s="1358"/>
      <c r="P36" s="1359"/>
    </row>
    <row r="37" spans="1:16" ht="39.950000000000003" customHeight="1" x14ac:dyDescent="0.25">
      <c r="A37" s="239">
        <f t="shared" si="0"/>
        <v>24</v>
      </c>
      <c r="B37" s="242">
        <v>43952</v>
      </c>
      <c r="C37" s="240">
        <v>1</v>
      </c>
      <c r="D37" s="296" t="s">
        <v>22</v>
      </c>
      <c r="E37" s="295" t="s">
        <v>104</v>
      </c>
      <c r="F37" s="235"/>
      <c r="G37" s="235"/>
      <c r="H37" s="242">
        <v>43952</v>
      </c>
      <c r="I37" s="240">
        <v>1</v>
      </c>
      <c r="J37" s="1357" t="s">
        <v>22</v>
      </c>
      <c r="K37" s="1358"/>
      <c r="L37" s="1358"/>
      <c r="M37" s="1358"/>
      <c r="N37" s="1358"/>
      <c r="O37" s="1358"/>
      <c r="P37" s="1359"/>
    </row>
    <row r="38" spans="1:16" ht="39.950000000000003" customHeight="1" x14ac:dyDescent="0.25">
      <c r="A38" s="239">
        <f t="shared" si="0"/>
        <v>25</v>
      </c>
      <c r="B38" s="242">
        <v>43983</v>
      </c>
      <c r="C38" s="240">
        <v>2</v>
      </c>
      <c r="D38" s="296" t="s">
        <v>22</v>
      </c>
      <c r="E38" s="295" t="s">
        <v>100</v>
      </c>
      <c r="F38" s="235"/>
      <c r="G38" s="235"/>
      <c r="H38" s="242">
        <v>43983</v>
      </c>
      <c r="I38" s="240">
        <v>1</v>
      </c>
      <c r="J38" s="1357" t="s">
        <v>22</v>
      </c>
      <c r="K38" s="1358"/>
      <c r="L38" s="1358"/>
      <c r="M38" s="1358"/>
      <c r="N38" s="1358"/>
      <c r="O38" s="1358"/>
      <c r="P38" s="1359"/>
    </row>
    <row r="39" spans="1:16" ht="39.950000000000003" customHeight="1" x14ac:dyDescent="0.25">
      <c r="A39" s="239">
        <f t="shared" si="0"/>
        <v>26</v>
      </c>
      <c r="B39" s="242">
        <v>44013</v>
      </c>
      <c r="C39" s="240">
        <v>3</v>
      </c>
      <c r="D39" s="296" t="s">
        <v>22</v>
      </c>
      <c r="E39" s="295" t="s">
        <v>104</v>
      </c>
      <c r="F39" s="235"/>
      <c r="G39" s="235"/>
      <c r="H39" s="242">
        <v>44013</v>
      </c>
      <c r="I39" s="240">
        <v>1</v>
      </c>
      <c r="J39" s="1357" t="s">
        <v>22</v>
      </c>
      <c r="K39" s="1358"/>
      <c r="L39" s="1358"/>
      <c r="M39" s="1358"/>
      <c r="N39" s="1358"/>
      <c r="O39" s="1358"/>
      <c r="P39" s="1359"/>
    </row>
    <row r="40" spans="1:16" ht="39.950000000000003" customHeight="1" x14ac:dyDescent="0.25">
      <c r="A40" s="239">
        <f t="shared" si="0"/>
        <v>27</v>
      </c>
      <c r="B40" s="242">
        <v>44044</v>
      </c>
      <c r="C40" s="240">
        <v>1</v>
      </c>
      <c r="D40" s="296" t="s">
        <v>22</v>
      </c>
      <c r="E40" s="295" t="s">
        <v>100</v>
      </c>
      <c r="F40" s="235"/>
      <c r="G40" s="235"/>
      <c r="H40" s="242">
        <v>44044</v>
      </c>
      <c r="I40" s="240">
        <v>1</v>
      </c>
      <c r="J40" s="1357" t="s">
        <v>22</v>
      </c>
      <c r="K40" s="1358"/>
      <c r="L40" s="1358"/>
      <c r="M40" s="1358"/>
      <c r="N40" s="1358"/>
      <c r="O40" s="1358"/>
      <c r="P40" s="1359"/>
    </row>
    <row r="41" spans="1:16" ht="39.950000000000003" customHeight="1" x14ac:dyDescent="0.25">
      <c r="A41" s="239">
        <f t="shared" si="0"/>
        <v>28</v>
      </c>
      <c r="B41" s="242">
        <v>44075</v>
      </c>
      <c r="C41" s="240">
        <v>2</v>
      </c>
      <c r="D41" s="296" t="s">
        <v>22</v>
      </c>
      <c r="E41" s="295" t="s">
        <v>104</v>
      </c>
      <c r="F41" s="235"/>
      <c r="G41" s="235"/>
      <c r="H41" s="242">
        <v>44075</v>
      </c>
      <c r="I41" s="240">
        <v>1</v>
      </c>
      <c r="J41" s="1357" t="s">
        <v>22</v>
      </c>
      <c r="K41" s="1358"/>
      <c r="L41" s="1358"/>
      <c r="M41" s="1358"/>
      <c r="N41" s="1358"/>
      <c r="O41" s="1358"/>
      <c r="P41" s="1359"/>
    </row>
    <row r="42" spans="1:16" ht="39.950000000000003" customHeight="1" x14ac:dyDescent="0.25">
      <c r="A42" s="239">
        <f t="shared" si="0"/>
        <v>29</v>
      </c>
      <c r="B42" s="242">
        <v>44105</v>
      </c>
      <c r="C42" s="240">
        <v>3</v>
      </c>
      <c r="D42" s="296" t="s">
        <v>22</v>
      </c>
      <c r="E42" s="295" t="s">
        <v>100</v>
      </c>
      <c r="F42" s="235"/>
      <c r="G42" s="235"/>
      <c r="H42" s="242">
        <v>44105</v>
      </c>
      <c r="I42" s="240">
        <v>1</v>
      </c>
      <c r="J42" s="1357" t="s">
        <v>22</v>
      </c>
      <c r="K42" s="1358"/>
      <c r="L42" s="1358"/>
      <c r="M42" s="1358"/>
      <c r="N42" s="1358"/>
      <c r="O42" s="1358"/>
      <c r="P42" s="1359"/>
    </row>
    <row r="43" spans="1:16" ht="39.950000000000003" customHeight="1" x14ac:dyDescent="0.25">
      <c r="A43" s="239">
        <f t="shared" si="0"/>
        <v>30</v>
      </c>
      <c r="B43" s="242">
        <v>43435</v>
      </c>
      <c r="C43" s="240">
        <v>1</v>
      </c>
      <c r="D43" s="296" t="s">
        <v>22</v>
      </c>
      <c r="E43" s="295" t="s">
        <v>104</v>
      </c>
      <c r="F43" s="235"/>
      <c r="G43" s="235"/>
      <c r="H43" s="242">
        <v>43435</v>
      </c>
      <c r="I43" s="240">
        <v>1</v>
      </c>
      <c r="J43" s="1357" t="s">
        <v>22</v>
      </c>
      <c r="K43" s="1358"/>
      <c r="L43" s="1358"/>
      <c r="M43" s="1358"/>
      <c r="N43" s="1358"/>
      <c r="O43" s="1358"/>
      <c r="P43" s="1359"/>
    </row>
    <row r="44" spans="1:16" ht="39.950000000000003" customHeight="1" x14ac:dyDescent="0.25">
      <c r="A44" s="239">
        <f t="shared" si="0"/>
        <v>31</v>
      </c>
      <c r="B44" s="242">
        <v>43709</v>
      </c>
      <c r="C44" s="240">
        <v>1</v>
      </c>
      <c r="D44" s="296" t="s">
        <v>22</v>
      </c>
      <c r="E44" s="295" t="s">
        <v>100</v>
      </c>
      <c r="F44" s="235"/>
      <c r="G44" s="235"/>
      <c r="H44" s="242">
        <v>43709</v>
      </c>
      <c r="I44" s="240">
        <v>1</v>
      </c>
      <c r="J44" s="1357" t="s">
        <v>22</v>
      </c>
      <c r="K44" s="1358"/>
      <c r="L44" s="1358"/>
      <c r="M44" s="1358"/>
      <c r="N44" s="1358"/>
      <c r="O44" s="1358"/>
      <c r="P44" s="1359"/>
    </row>
    <row r="45" spans="1:16" ht="39.950000000000003" customHeight="1" x14ac:dyDescent="0.25">
      <c r="A45" s="239">
        <f t="shared" si="0"/>
        <v>32</v>
      </c>
      <c r="B45" s="242">
        <v>43739</v>
      </c>
      <c r="C45" s="240">
        <v>2</v>
      </c>
      <c r="D45" s="296" t="s">
        <v>22</v>
      </c>
      <c r="E45" s="295" t="s">
        <v>104</v>
      </c>
      <c r="F45" s="235"/>
      <c r="G45" s="235"/>
      <c r="H45" s="242">
        <v>43739</v>
      </c>
      <c r="I45" s="240">
        <v>1</v>
      </c>
      <c r="J45" s="1357" t="s">
        <v>22</v>
      </c>
      <c r="K45" s="1358"/>
      <c r="L45" s="1358"/>
      <c r="M45" s="1358"/>
      <c r="N45" s="1358"/>
      <c r="O45" s="1358"/>
      <c r="P45" s="1359"/>
    </row>
    <row r="46" spans="1:16" ht="39.950000000000003" customHeight="1" x14ac:dyDescent="0.25">
      <c r="A46" s="239">
        <f t="shared" si="0"/>
        <v>33</v>
      </c>
      <c r="B46" s="242">
        <v>43770</v>
      </c>
      <c r="C46" s="240">
        <v>3</v>
      </c>
      <c r="D46" s="296" t="s">
        <v>22</v>
      </c>
      <c r="E46" s="295" t="s">
        <v>100</v>
      </c>
      <c r="F46" s="235"/>
      <c r="G46" s="235"/>
      <c r="H46" s="242">
        <v>43770</v>
      </c>
      <c r="I46" s="240">
        <v>1</v>
      </c>
      <c r="J46" s="1357" t="s">
        <v>22</v>
      </c>
      <c r="K46" s="1358"/>
      <c r="L46" s="1358"/>
      <c r="M46" s="1358"/>
      <c r="N46" s="1358"/>
      <c r="O46" s="1358"/>
      <c r="P46" s="1359"/>
    </row>
    <row r="47" spans="1:16" ht="39.950000000000003" customHeight="1" x14ac:dyDescent="0.25">
      <c r="A47" s="239">
        <f t="shared" si="0"/>
        <v>34</v>
      </c>
      <c r="B47" s="242">
        <v>43800</v>
      </c>
      <c r="C47" s="240">
        <v>1</v>
      </c>
      <c r="D47" s="296" t="s">
        <v>22</v>
      </c>
      <c r="E47" s="295" t="s">
        <v>104</v>
      </c>
      <c r="F47" s="235"/>
      <c r="G47" s="235"/>
      <c r="H47" s="242">
        <v>43800</v>
      </c>
      <c r="I47" s="240">
        <v>1</v>
      </c>
      <c r="J47" s="1357" t="s">
        <v>22</v>
      </c>
      <c r="K47" s="1358"/>
      <c r="L47" s="1358"/>
      <c r="M47" s="1358"/>
      <c r="N47" s="1358"/>
      <c r="O47" s="1358"/>
      <c r="P47" s="1359"/>
    </row>
    <row r="48" spans="1:16" ht="39.950000000000003" customHeight="1" x14ac:dyDescent="0.25">
      <c r="A48" s="239">
        <f t="shared" si="0"/>
        <v>35</v>
      </c>
      <c r="B48" s="242">
        <v>43831</v>
      </c>
      <c r="C48" s="240">
        <v>2</v>
      </c>
      <c r="D48" s="296" t="s">
        <v>22</v>
      </c>
      <c r="E48" s="295" t="s">
        <v>100</v>
      </c>
      <c r="F48" s="235"/>
      <c r="G48" s="235"/>
      <c r="H48" s="242">
        <v>43831</v>
      </c>
      <c r="I48" s="240">
        <v>1</v>
      </c>
      <c r="J48" s="1357" t="s">
        <v>22</v>
      </c>
      <c r="K48" s="1358"/>
      <c r="L48" s="1358"/>
      <c r="M48" s="1358"/>
      <c r="N48" s="1358"/>
      <c r="O48" s="1358"/>
      <c r="P48" s="1359"/>
    </row>
    <row r="49" spans="1:16" ht="39.950000000000003" customHeight="1" x14ac:dyDescent="0.25">
      <c r="A49" s="239">
        <f t="shared" si="0"/>
        <v>36</v>
      </c>
      <c r="B49" s="242">
        <v>43862</v>
      </c>
      <c r="C49" s="240">
        <v>3</v>
      </c>
      <c r="D49" s="296" t="s">
        <v>22</v>
      </c>
      <c r="E49" s="295" t="s">
        <v>104</v>
      </c>
      <c r="F49" s="235"/>
      <c r="G49" s="235"/>
      <c r="H49" s="242">
        <v>43862</v>
      </c>
      <c r="I49" s="240">
        <v>1</v>
      </c>
      <c r="J49" s="1357" t="s">
        <v>22</v>
      </c>
      <c r="K49" s="1358"/>
      <c r="L49" s="1358"/>
      <c r="M49" s="1358"/>
      <c r="N49" s="1358"/>
      <c r="O49" s="1358"/>
      <c r="P49" s="1359"/>
    </row>
    <row r="50" spans="1:16" ht="39.950000000000003" customHeight="1" x14ac:dyDescent="0.25">
      <c r="A50" s="239">
        <f t="shared" si="0"/>
        <v>37</v>
      </c>
      <c r="B50" s="242">
        <v>43891</v>
      </c>
      <c r="C50" s="240">
        <v>1</v>
      </c>
      <c r="D50" s="296" t="s">
        <v>22</v>
      </c>
      <c r="E50" s="295" t="s">
        <v>100</v>
      </c>
      <c r="F50" s="235"/>
      <c r="G50" s="235"/>
      <c r="H50" s="242">
        <v>43891</v>
      </c>
      <c r="I50" s="240">
        <v>1</v>
      </c>
      <c r="J50" s="1357" t="s">
        <v>22</v>
      </c>
      <c r="K50" s="1358"/>
      <c r="L50" s="1358"/>
      <c r="M50" s="1358"/>
      <c r="N50" s="1358"/>
      <c r="O50" s="1358"/>
      <c r="P50" s="1359"/>
    </row>
    <row r="51" spans="1:16" ht="39.950000000000003" customHeight="1" x14ac:dyDescent="0.25">
      <c r="A51" s="239">
        <f t="shared" si="0"/>
        <v>38</v>
      </c>
      <c r="B51" s="242">
        <v>43922</v>
      </c>
      <c r="C51" s="240">
        <v>1</v>
      </c>
      <c r="D51" s="296" t="s">
        <v>22</v>
      </c>
      <c r="E51" s="295" t="s">
        <v>104</v>
      </c>
      <c r="F51" s="235"/>
      <c r="G51" s="235"/>
      <c r="H51" s="242">
        <v>43922</v>
      </c>
      <c r="I51" s="240">
        <v>1</v>
      </c>
      <c r="J51" s="1357" t="s">
        <v>22</v>
      </c>
      <c r="K51" s="1358"/>
      <c r="L51" s="1358"/>
      <c r="M51" s="1358"/>
      <c r="N51" s="1358"/>
      <c r="O51" s="1358"/>
      <c r="P51" s="1359"/>
    </row>
    <row r="52" spans="1:16" ht="39.950000000000003" customHeight="1" x14ac:dyDescent="0.25">
      <c r="A52" s="239">
        <f t="shared" si="0"/>
        <v>39</v>
      </c>
      <c r="B52" s="242">
        <v>43952</v>
      </c>
      <c r="C52" s="240">
        <v>2</v>
      </c>
      <c r="D52" s="296" t="s">
        <v>22</v>
      </c>
      <c r="E52" s="295" t="s">
        <v>100</v>
      </c>
      <c r="F52" s="235"/>
      <c r="G52" s="235"/>
      <c r="H52" s="242">
        <v>43952</v>
      </c>
      <c r="I52" s="240">
        <v>1</v>
      </c>
      <c r="J52" s="1357" t="s">
        <v>22</v>
      </c>
      <c r="K52" s="1358"/>
      <c r="L52" s="1358"/>
      <c r="M52" s="1358"/>
      <c r="N52" s="1358"/>
      <c r="O52" s="1358"/>
      <c r="P52" s="1359"/>
    </row>
    <row r="53" spans="1:16" ht="39.950000000000003" customHeight="1" x14ac:dyDescent="0.25">
      <c r="A53" s="239">
        <f t="shared" si="0"/>
        <v>40</v>
      </c>
      <c r="B53" s="242">
        <v>43983</v>
      </c>
      <c r="C53" s="240">
        <v>3</v>
      </c>
      <c r="D53" s="296" t="s">
        <v>22</v>
      </c>
      <c r="E53" s="295" t="s">
        <v>104</v>
      </c>
      <c r="F53" s="235"/>
      <c r="G53" s="235"/>
      <c r="H53" s="242">
        <v>43983</v>
      </c>
      <c r="I53" s="240">
        <v>1</v>
      </c>
      <c r="J53" s="1357" t="s">
        <v>22</v>
      </c>
      <c r="K53" s="1358"/>
      <c r="L53" s="1358"/>
      <c r="M53" s="1358"/>
      <c r="N53" s="1358"/>
      <c r="O53" s="1358"/>
      <c r="P53" s="1359"/>
    </row>
    <row r="54" spans="1:16" ht="39.950000000000003" customHeight="1" x14ac:dyDescent="0.25">
      <c r="A54" s="239">
        <f t="shared" si="0"/>
        <v>41</v>
      </c>
      <c r="B54" s="242">
        <v>44013</v>
      </c>
      <c r="C54" s="240">
        <v>1</v>
      </c>
      <c r="D54" s="296" t="s">
        <v>22</v>
      </c>
      <c r="E54" s="295" t="s">
        <v>100</v>
      </c>
      <c r="F54" s="235"/>
      <c r="G54" s="235"/>
      <c r="H54" s="242">
        <v>44013</v>
      </c>
      <c r="I54" s="240">
        <v>1</v>
      </c>
      <c r="J54" s="1357" t="s">
        <v>22</v>
      </c>
      <c r="K54" s="1358"/>
      <c r="L54" s="1358"/>
      <c r="M54" s="1358"/>
      <c r="N54" s="1358"/>
      <c r="O54" s="1358"/>
      <c r="P54" s="1359"/>
    </row>
    <row r="55" spans="1:16" ht="39.950000000000003" customHeight="1" x14ac:dyDescent="0.25">
      <c r="A55" s="239">
        <f t="shared" si="0"/>
        <v>42</v>
      </c>
      <c r="B55" s="242">
        <v>44044</v>
      </c>
      <c r="C55" s="240">
        <v>2</v>
      </c>
      <c r="D55" s="296" t="s">
        <v>22</v>
      </c>
      <c r="E55" s="295" t="s">
        <v>104</v>
      </c>
      <c r="F55" s="235"/>
      <c r="G55" s="235"/>
      <c r="H55" s="242">
        <v>44044</v>
      </c>
      <c r="I55" s="240">
        <v>1</v>
      </c>
      <c r="J55" s="1357" t="s">
        <v>22</v>
      </c>
      <c r="K55" s="1358"/>
      <c r="L55" s="1358"/>
      <c r="M55" s="1358"/>
      <c r="N55" s="1358"/>
      <c r="O55" s="1358"/>
      <c r="P55" s="1359"/>
    </row>
    <row r="56" spans="1:16" ht="39.950000000000003" customHeight="1" x14ac:dyDescent="0.25">
      <c r="A56" s="239">
        <f t="shared" si="0"/>
        <v>43</v>
      </c>
      <c r="B56" s="242">
        <v>44075</v>
      </c>
      <c r="C56" s="240">
        <v>3</v>
      </c>
      <c r="D56" s="296" t="s">
        <v>22</v>
      </c>
      <c r="E56" s="295" t="s">
        <v>100</v>
      </c>
      <c r="F56" s="235"/>
      <c r="G56" s="235"/>
      <c r="H56" s="242">
        <v>44075</v>
      </c>
      <c r="I56" s="240">
        <v>1</v>
      </c>
      <c r="J56" s="1357" t="s">
        <v>22</v>
      </c>
      <c r="K56" s="1358"/>
      <c r="L56" s="1358"/>
      <c r="M56" s="1358"/>
      <c r="N56" s="1358"/>
      <c r="O56" s="1358"/>
      <c r="P56" s="1359"/>
    </row>
    <row r="57" spans="1:16" ht="39.950000000000003" customHeight="1" x14ac:dyDescent="0.25">
      <c r="A57" s="239">
        <f t="shared" si="0"/>
        <v>44</v>
      </c>
      <c r="B57" s="242">
        <v>44105</v>
      </c>
      <c r="C57" s="240">
        <v>1</v>
      </c>
      <c r="D57" s="296" t="s">
        <v>22</v>
      </c>
      <c r="E57" s="295" t="s">
        <v>104</v>
      </c>
      <c r="F57" s="235"/>
      <c r="G57" s="235"/>
      <c r="H57" s="242">
        <v>44105</v>
      </c>
      <c r="I57" s="240">
        <v>1</v>
      </c>
      <c r="J57" s="1357" t="s">
        <v>22</v>
      </c>
      <c r="K57" s="1358"/>
      <c r="L57" s="1358"/>
      <c r="M57" s="1358"/>
      <c r="N57" s="1358"/>
      <c r="O57" s="1358"/>
      <c r="P57" s="1359"/>
    </row>
    <row r="58" spans="1:16" ht="39.950000000000003" customHeight="1" x14ac:dyDescent="0.25">
      <c r="A58" s="239">
        <f t="shared" si="0"/>
        <v>45</v>
      </c>
      <c r="B58" s="242">
        <v>43435</v>
      </c>
      <c r="C58" s="240">
        <v>2</v>
      </c>
      <c r="D58" s="296" t="s">
        <v>22</v>
      </c>
      <c r="E58" s="295" t="s">
        <v>100</v>
      </c>
      <c r="F58" s="235"/>
      <c r="G58" s="235"/>
      <c r="H58" s="242">
        <v>43435</v>
      </c>
      <c r="I58" s="240">
        <v>1</v>
      </c>
      <c r="J58" s="1357" t="s">
        <v>22</v>
      </c>
      <c r="K58" s="1358"/>
      <c r="L58" s="1358"/>
      <c r="M58" s="1358"/>
      <c r="N58" s="1358"/>
      <c r="O58" s="1358"/>
      <c r="P58" s="1359"/>
    </row>
    <row r="59" spans="1:16" ht="39.950000000000003" customHeight="1" x14ac:dyDescent="0.25">
      <c r="A59" s="239">
        <f t="shared" si="0"/>
        <v>46</v>
      </c>
      <c r="B59" s="242">
        <v>43709</v>
      </c>
      <c r="C59" s="240">
        <v>3</v>
      </c>
      <c r="D59" s="296" t="s">
        <v>22</v>
      </c>
      <c r="E59" s="295" t="s">
        <v>104</v>
      </c>
      <c r="F59" s="235"/>
      <c r="G59" s="235"/>
      <c r="H59" s="242">
        <v>43709</v>
      </c>
      <c r="I59" s="240">
        <v>1</v>
      </c>
      <c r="J59" s="1357" t="s">
        <v>22</v>
      </c>
      <c r="K59" s="1358"/>
      <c r="L59" s="1358"/>
      <c r="M59" s="1358"/>
      <c r="N59" s="1358"/>
      <c r="O59" s="1358"/>
      <c r="P59" s="1359"/>
    </row>
    <row r="60" spans="1:16" ht="39.950000000000003" customHeight="1" x14ac:dyDescent="0.25">
      <c r="A60" s="239">
        <f t="shared" si="0"/>
        <v>47</v>
      </c>
      <c r="B60" s="242">
        <v>43739</v>
      </c>
      <c r="C60" s="240">
        <v>1</v>
      </c>
      <c r="D60" s="296" t="s">
        <v>22</v>
      </c>
      <c r="E60" s="295" t="s">
        <v>100</v>
      </c>
      <c r="F60" s="235"/>
      <c r="G60" s="235"/>
      <c r="H60" s="242">
        <v>43739</v>
      </c>
      <c r="I60" s="240">
        <v>1</v>
      </c>
      <c r="J60" s="1357" t="s">
        <v>22</v>
      </c>
      <c r="K60" s="1358"/>
      <c r="L60" s="1358"/>
      <c r="M60" s="1358"/>
      <c r="N60" s="1358"/>
      <c r="O60" s="1358"/>
      <c r="P60" s="1359"/>
    </row>
    <row r="61" spans="1:16" ht="39.950000000000003" customHeight="1" x14ac:dyDescent="0.25">
      <c r="A61" s="239">
        <f t="shared" si="0"/>
        <v>48</v>
      </c>
      <c r="B61" s="242">
        <v>43770</v>
      </c>
      <c r="C61" s="240">
        <v>1</v>
      </c>
      <c r="D61" s="296" t="s">
        <v>22</v>
      </c>
      <c r="E61" s="295" t="s">
        <v>104</v>
      </c>
      <c r="F61" s="235"/>
      <c r="G61" s="235"/>
      <c r="H61" s="242">
        <v>43770</v>
      </c>
      <c r="I61" s="240">
        <v>1</v>
      </c>
      <c r="J61" s="1357" t="s">
        <v>22</v>
      </c>
      <c r="K61" s="1358"/>
      <c r="L61" s="1358"/>
      <c r="M61" s="1358"/>
      <c r="N61" s="1358"/>
      <c r="O61" s="1358"/>
      <c r="P61" s="1359"/>
    </row>
    <row r="62" spans="1:16" ht="39.950000000000003" customHeight="1" x14ac:dyDescent="0.25">
      <c r="A62" s="239">
        <f t="shared" si="0"/>
        <v>49</v>
      </c>
      <c r="B62" s="242">
        <v>43800</v>
      </c>
      <c r="C62" s="240">
        <v>2</v>
      </c>
      <c r="D62" s="296" t="s">
        <v>22</v>
      </c>
      <c r="E62" s="295" t="s">
        <v>100</v>
      </c>
      <c r="F62" s="235"/>
      <c r="G62" s="235"/>
      <c r="H62" s="242">
        <v>43800</v>
      </c>
      <c r="I62" s="240">
        <v>1</v>
      </c>
      <c r="J62" s="1357" t="s">
        <v>22</v>
      </c>
      <c r="K62" s="1358"/>
      <c r="L62" s="1358"/>
      <c r="M62" s="1358"/>
      <c r="N62" s="1358"/>
      <c r="O62" s="1358"/>
      <c r="P62" s="1359"/>
    </row>
    <row r="63" spans="1:16" ht="39.950000000000003" customHeight="1" x14ac:dyDescent="0.25">
      <c r="A63" s="239">
        <f t="shared" si="0"/>
        <v>50</v>
      </c>
      <c r="B63" s="242">
        <v>43831</v>
      </c>
      <c r="C63" s="240">
        <v>3</v>
      </c>
      <c r="D63" s="296" t="s">
        <v>22</v>
      </c>
      <c r="E63" s="295" t="s">
        <v>104</v>
      </c>
      <c r="F63" s="235"/>
      <c r="G63" s="235"/>
      <c r="H63" s="242">
        <v>43831</v>
      </c>
      <c r="I63" s="240">
        <v>1</v>
      </c>
      <c r="J63" s="1357" t="s">
        <v>22</v>
      </c>
      <c r="K63" s="1358"/>
      <c r="L63" s="1358"/>
      <c r="M63" s="1358"/>
      <c r="N63" s="1358"/>
      <c r="O63" s="1358"/>
      <c r="P63" s="1359"/>
    </row>
  </sheetData>
  <mergeCells count="75">
    <mergeCell ref="B1:E1"/>
    <mergeCell ref="H1:P1"/>
    <mergeCell ref="J59:P59"/>
    <mergeCell ref="J42:P42"/>
    <mergeCell ref="J43:P43"/>
    <mergeCell ref="J44:P44"/>
    <mergeCell ref="J45:P45"/>
    <mergeCell ref="J46:P46"/>
    <mergeCell ref="J47:P47"/>
    <mergeCell ref="J54:P54"/>
    <mergeCell ref="J55:P55"/>
    <mergeCell ref="J56:P56"/>
    <mergeCell ref="J57:P57"/>
    <mergeCell ref="J58:P58"/>
    <mergeCell ref="J24:P24"/>
    <mergeCell ref="J30:P30"/>
    <mergeCell ref="J19:P19"/>
    <mergeCell ref="J20:P20"/>
    <mergeCell ref="J21:P21"/>
    <mergeCell ref="J22:P22"/>
    <mergeCell ref="J23:P23"/>
    <mergeCell ref="J13:P13"/>
    <mergeCell ref="J14:P14"/>
    <mergeCell ref="J15:P15"/>
    <mergeCell ref="J16:P16"/>
    <mergeCell ref="J17:P17"/>
    <mergeCell ref="J18:P18"/>
    <mergeCell ref="J60:P60"/>
    <mergeCell ref="J61:P61"/>
    <mergeCell ref="J62:P62"/>
    <mergeCell ref="J63:P63"/>
    <mergeCell ref="J48:P48"/>
    <mergeCell ref="J49:P49"/>
    <mergeCell ref="J50:P50"/>
    <mergeCell ref="J51:P51"/>
    <mergeCell ref="J36:P36"/>
    <mergeCell ref="J37:P37"/>
    <mergeCell ref="J38:P38"/>
    <mergeCell ref="J39:P39"/>
    <mergeCell ref="J25:P25"/>
    <mergeCell ref="J26:P26"/>
    <mergeCell ref="J27:P27"/>
    <mergeCell ref="J52:P52"/>
    <mergeCell ref="J53:P53"/>
    <mergeCell ref="J40:P40"/>
    <mergeCell ref="J41:P41"/>
    <mergeCell ref="J28:P28"/>
    <mergeCell ref="J29:P29"/>
    <mergeCell ref="J35:P35"/>
    <mergeCell ref="J34:P34"/>
    <mergeCell ref="J31:P31"/>
    <mergeCell ref="J32:P32"/>
    <mergeCell ref="J33:P33"/>
    <mergeCell ref="B12:E12"/>
    <mergeCell ref="A10:P10"/>
    <mergeCell ref="A11:P11"/>
    <mergeCell ref="A7:D7"/>
    <mergeCell ref="E7:G7"/>
    <mergeCell ref="H7:I7"/>
    <mergeCell ref="J7:P7"/>
    <mergeCell ref="A8:D9"/>
    <mergeCell ref="E8:G9"/>
    <mergeCell ref="H8:I8"/>
    <mergeCell ref="J8:P8"/>
    <mergeCell ref="H9:I9"/>
    <mergeCell ref="J9:P9"/>
    <mergeCell ref="H12:P12"/>
    <mergeCell ref="A2:P2"/>
    <mergeCell ref="A3:P3"/>
    <mergeCell ref="A4:P4"/>
    <mergeCell ref="A5:P5"/>
    <mergeCell ref="A6:D6"/>
    <mergeCell ref="E6:G6"/>
    <mergeCell ref="H6:I6"/>
    <mergeCell ref="J6:P6"/>
  </mergeCells>
  <dataValidations count="1">
    <dataValidation type="date" allowBlank="1" showInputMessage="1" showErrorMessage="1" prompt="Use MM/DD/YYYY format.  If date not needed leave blank. " sqref="B14:B63 H14:H63" xr:uid="{657382CA-122D-4916-8F0E-FD34A2BAE35C}">
      <formula1>43709</formula1>
      <formula2>45930</formula2>
    </dataValidation>
  </dataValidations>
  <pageMargins left="0.25" right="0.25" top="0.75" bottom="0.75" header="0.3" footer="0.3"/>
  <pageSetup paperSize="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A7EDE-81A6-4509-BF36-A3E73AE45A02}">
  <sheetPr>
    <tabColor rgb="FF7030A0"/>
  </sheetPr>
  <dimension ref="A1:BV135"/>
  <sheetViews>
    <sheetView workbookViewId="0">
      <pane ySplit="1" topLeftCell="A2" activePane="bottomLeft" state="frozen"/>
      <selection pane="bottomLeft" activeCell="A5" sqref="A5:I5"/>
    </sheetView>
  </sheetViews>
  <sheetFormatPr defaultRowHeight="15" x14ac:dyDescent="0.25"/>
  <cols>
    <col min="1" max="1" width="4.7109375" customWidth="1"/>
    <col min="2" max="25" width="5.7109375" customWidth="1"/>
    <col min="26" max="26" width="9" customWidth="1"/>
    <col min="27" max="42" width="5.7109375" customWidth="1"/>
  </cols>
  <sheetData>
    <row r="1" spans="1:74" ht="15.75" x14ac:dyDescent="0.25">
      <c r="A1" s="1322" t="str">
        <f>'BASE GRANTEE INFO &amp; UPDATES'!A1</f>
        <v>WV Bureau for Behavioral Health and Health Facilities -Community Anti-Drug Coalitions of America and Teen Court</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1323"/>
      <c r="AA1" s="1323"/>
      <c r="AB1" s="1323"/>
      <c r="AC1" s="1323"/>
      <c r="AD1" s="1323"/>
      <c r="AE1" s="1323"/>
      <c r="AF1" s="1323"/>
      <c r="AG1" s="1323"/>
      <c r="AH1" s="1323"/>
      <c r="AI1" s="1323"/>
      <c r="AJ1" s="1440"/>
    </row>
    <row r="2" spans="1:74" ht="15.75" x14ac:dyDescent="0.25">
      <c r="A2" s="1324" t="str">
        <f>'BASE GRANTEE INFO &amp; UPDATES'!A2</f>
        <v>FISCAL YEAR: 2025 (09/30/2024 - 09/29/2025)</v>
      </c>
      <c r="B2" s="1325"/>
      <c r="C2" s="1325"/>
      <c r="D2" s="1325"/>
      <c r="E2" s="1325"/>
      <c r="F2" s="1325"/>
      <c r="G2" s="1325"/>
      <c r="H2" s="1325"/>
      <c r="I2" s="1325"/>
      <c r="J2" s="1325"/>
      <c r="K2" s="1325"/>
      <c r="L2" s="1325"/>
      <c r="M2" s="1325"/>
      <c r="N2" s="1325"/>
      <c r="O2" s="1325"/>
      <c r="P2" s="1325"/>
      <c r="Q2" s="1325"/>
      <c r="R2" s="1325"/>
      <c r="S2" s="1325"/>
      <c r="T2" s="1325"/>
      <c r="U2" s="1325"/>
      <c r="V2" s="1325"/>
      <c r="W2" s="1325"/>
      <c r="X2" s="1325"/>
      <c r="Y2" s="1325"/>
      <c r="Z2" s="1325"/>
      <c r="AA2" s="1325"/>
      <c r="AB2" s="1325"/>
      <c r="AC2" s="1325"/>
      <c r="AD2" s="1325"/>
      <c r="AE2" s="1325"/>
      <c r="AF2" s="1325"/>
      <c r="AG2" s="1325"/>
      <c r="AH2" s="1325"/>
      <c r="AI2" s="1325"/>
      <c r="AJ2" s="1441"/>
    </row>
    <row r="3" spans="1:74" ht="15.75" x14ac:dyDescent="0.25">
      <c r="A3" s="1442" t="str">
        <f>'BASE GRANTEE INFO &amp; UPDATES'!A3</f>
        <v xml:space="preserve">Program reports need to be submitted electronically, via e-mail to BBHReporting@wv.gov  within 25 calendar days of the end of each month </v>
      </c>
      <c r="B3" s="1443"/>
      <c r="C3" s="1443"/>
      <c r="D3" s="1443"/>
      <c r="E3" s="1443"/>
      <c r="F3" s="1443"/>
      <c r="G3" s="1443"/>
      <c r="H3" s="1443"/>
      <c r="I3" s="1443"/>
      <c r="J3" s="1443"/>
      <c r="K3" s="1443"/>
      <c r="L3" s="1443"/>
      <c r="M3" s="1443"/>
      <c r="N3" s="1443"/>
      <c r="O3" s="1443"/>
      <c r="P3" s="1443"/>
      <c r="Q3" s="1443"/>
      <c r="R3" s="1443"/>
      <c r="S3" s="1443"/>
      <c r="T3" s="1443"/>
      <c r="U3" s="1443"/>
      <c r="V3" s="1443"/>
      <c r="W3" s="1443"/>
      <c r="X3" s="1443"/>
      <c r="Y3" s="1443"/>
      <c r="Z3" s="1443"/>
      <c r="AA3" s="1443"/>
      <c r="AB3" s="1443"/>
      <c r="AC3" s="1443"/>
      <c r="AD3" s="1443"/>
      <c r="AE3" s="1443"/>
      <c r="AF3" s="1443"/>
      <c r="AG3" s="1443"/>
      <c r="AH3" s="1443"/>
      <c r="AI3" s="1443"/>
      <c r="AJ3" s="1444"/>
    </row>
    <row r="4" spans="1:74" ht="20.100000000000001" customHeight="1" x14ac:dyDescent="0.25">
      <c r="A4" s="1419" t="s">
        <v>487</v>
      </c>
      <c r="B4" s="1420"/>
      <c r="C4" s="1420"/>
      <c r="D4" s="1420"/>
      <c r="E4" s="1420"/>
      <c r="F4" s="1420"/>
      <c r="G4" s="1420"/>
      <c r="H4" s="1420"/>
      <c r="I4" s="1420"/>
      <c r="J4" s="1420"/>
      <c r="K4" s="1420"/>
      <c r="L4" s="1420"/>
      <c r="M4" s="1420"/>
      <c r="N4" s="1420"/>
      <c r="O4" s="1420"/>
      <c r="P4" s="1420"/>
      <c r="Q4" s="1420"/>
      <c r="R4" s="1420"/>
      <c r="S4" s="1420"/>
      <c r="T4" s="1420"/>
      <c r="U4" s="1420"/>
      <c r="V4" s="1420"/>
      <c r="W4" s="1420"/>
      <c r="X4" s="1420"/>
      <c r="Y4" s="1420"/>
      <c r="Z4" s="1420"/>
      <c r="AA4" s="1420"/>
      <c r="AB4" s="1420"/>
      <c r="AC4" s="1420"/>
      <c r="AD4" s="1420"/>
      <c r="AE4" s="1420"/>
      <c r="AF4" s="1420"/>
      <c r="AG4" s="1420"/>
      <c r="AH4" s="1420"/>
      <c r="AI4" s="1420"/>
      <c r="AJ4" s="1421"/>
    </row>
    <row r="5" spans="1:74" ht="20.100000000000001" customHeight="1" x14ac:dyDescent="0.25">
      <c r="A5" s="1445" t="s">
        <v>0</v>
      </c>
      <c r="B5" s="1446"/>
      <c r="C5" s="1446"/>
      <c r="D5" s="1446"/>
      <c r="E5" s="1446"/>
      <c r="F5" s="1446"/>
      <c r="G5" s="1446"/>
      <c r="H5" s="1446"/>
      <c r="I5" s="1447"/>
      <c r="J5" s="1448" t="str">
        <f>'BASE GRANTEE INFO &amp; UPDATES'!E5</f>
        <v xml:space="preserve">Community Anti-Drug Coalitions of America (CADCA) and Teen Court </v>
      </c>
      <c r="K5" s="1448"/>
      <c r="L5" s="1448"/>
      <c r="M5" s="1448"/>
      <c r="N5" s="1448"/>
      <c r="O5" s="1448"/>
      <c r="P5" s="1448"/>
      <c r="Q5" s="1448"/>
      <c r="R5" s="1448"/>
      <c r="S5" s="1451" t="s">
        <v>1</v>
      </c>
      <c r="T5" s="1452"/>
      <c r="U5" s="1452"/>
      <c r="V5" s="1452"/>
      <c r="W5" s="1452"/>
      <c r="X5" s="1452"/>
      <c r="Y5" s="1452"/>
      <c r="Z5" s="1453"/>
      <c r="AA5" s="1434">
        <f>'BASE GRANTEE INFO &amp; UPDATES'!M5</f>
        <v>0</v>
      </c>
      <c r="AB5" s="1435"/>
      <c r="AC5" s="1435"/>
      <c r="AD5" s="1435"/>
      <c r="AE5" s="1435"/>
      <c r="AF5" s="1435"/>
      <c r="AG5" s="1435"/>
      <c r="AH5" s="1435"/>
      <c r="AI5" s="1435"/>
      <c r="AJ5" s="1436"/>
    </row>
    <row r="6" spans="1:74" ht="20.100000000000001" customHeight="1" x14ac:dyDescent="0.25">
      <c r="A6" s="1445" t="s">
        <v>2</v>
      </c>
      <c r="B6" s="1446"/>
      <c r="C6" s="1446"/>
      <c r="D6" s="1446"/>
      <c r="E6" s="1446"/>
      <c r="F6" s="1446"/>
      <c r="G6" s="1446"/>
      <c r="H6" s="1446"/>
      <c r="I6" s="1447"/>
      <c r="J6" s="1449" t="str">
        <f>'BASE GRANTEE INFO &amp; UPDATES'!E6</f>
        <v>CADCA In Action and Teen Court</v>
      </c>
      <c r="K6" s="1449"/>
      <c r="L6" s="1449"/>
      <c r="M6" s="1449"/>
      <c r="N6" s="1449"/>
      <c r="O6" s="1449"/>
      <c r="P6" s="1449"/>
      <c r="Q6" s="1449"/>
      <c r="R6" s="1449"/>
      <c r="S6" s="1451" t="s">
        <v>3</v>
      </c>
      <c r="T6" s="1452"/>
      <c r="U6" s="1452"/>
      <c r="V6" s="1452"/>
      <c r="W6" s="1452"/>
      <c r="X6" s="1452"/>
      <c r="Y6" s="1452"/>
      <c r="Z6" s="1453"/>
      <c r="AA6" s="1434">
        <f>'BASE GRANTEE INFO &amp; UPDATES'!M6</f>
        <v>0</v>
      </c>
      <c r="AB6" s="1435"/>
      <c r="AC6" s="1435"/>
      <c r="AD6" s="1435"/>
      <c r="AE6" s="1435"/>
      <c r="AF6" s="1435"/>
      <c r="AG6" s="1435"/>
      <c r="AH6" s="1435"/>
      <c r="AI6" s="1435"/>
      <c r="AJ6" s="1436"/>
    </row>
    <row r="7" spans="1:74" ht="20.100000000000001" customHeight="1" x14ac:dyDescent="0.25">
      <c r="A7" s="1437" t="s">
        <v>4</v>
      </c>
      <c r="B7" s="1438"/>
      <c r="C7" s="1438"/>
      <c r="D7" s="1438"/>
      <c r="E7" s="1438"/>
      <c r="F7" s="1438"/>
      <c r="G7" s="1438"/>
      <c r="H7" s="1438"/>
      <c r="I7" s="1439"/>
      <c r="J7" s="1450">
        <f>'BASE GRANTEE INFO &amp; UPDATES'!E7</f>
        <v>0</v>
      </c>
      <c r="K7" s="1450"/>
      <c r="L7" s="1450"/>
      <c r="M7" s="1450"/>
      <c r="N7" s="1450"/>
      <c r="O7" s="1450"/>
      <c r="P7" s="1450"/>
      <c r="Q7" s="1450"/>
      <c r="R7" s="1450"/>
      <c r="S7" s="1451" t="s">
        <v>374</v>
      </c>
      <c r="T7" s="1452"/>
      <c r="U7" s="1452"/>
      <c r="V7" s="1452"/>
      <c r="W7" s="1452"/>
      <c r="X7" s="1452"/>
      <c r="Y7" s="1452"/>
      <c r="Z7" s="1453"/>
      <c r="AA7" s="1434">
        <f>'BASE GRANTEE INFO &amp; UPDATES'!M7</f>
        <v>0</v>
      </c>
      <c r="AB7" s="1435"/>
      <c r="AC7" s="1435"/>
      <c r="AD7" s="1435"/>
      <c r="AE7" s="1435"/>
      <c r="AF7" s="1435"/>
      <c r="AG7" s="1435"/>
      <c r="AH7" s="1435"/>
      <c r="AI7" s="1435"/>
      <c r="AJ7" s="1436"/>
    </row>
    <row r="8" spans="1:74" ht="20.100000000000001" customHeight="1" x14ac:dyDescent="0.25">
      <c r="A8" s="1437"/>
      <c r="B8" s="1438"/>
      <c r="C8" s="1438"/>
      <c r="D8" s="1438"/>
      <c r="E8" s="1438"/>
      <c r="F8" s="1438"/>
      <c r="G8" s="1438"/>
      <c r="H8" s="1438"/>
      <c r="I8" s="1439"/>
      <c r="J8" s="1450"/>
      <c r="K8" s="1450"/>
      <c r="L8" s="1450"/>
      <c r="M8" s="1450"/>
      <c r="N8" s="1450"/>
      <c r="O8" s="1450"/>
      <c r="P8" s="1450"/>
      <c r="Q8" s="1450"/>
      <c r="R8" s="1450"/>
      <c r="S8" s="1424" t="s">
        <v>6</v>
      </c>
      <c r="T8" s="1425"/>
      <c r="U8" s="1425"/>
      <c r="V8" s="1425"/>
      <c r="W8" s="1425"/>
      <c r="X8" s="1425"/>
      <c r="Y8" s="1425"/>
      <c r="Z8" s="1426"/>
      <c r="AA8" s="1434">
        <f>'BASE GRANTEE INFO &amp; UPDATES'!M8</f>
        <v>0</v>
      </c>
      <c r="AB8" s="1435"/>
      <c r="AC8" s="1435"/>
      <c r="AD8" s="1435"/>
      <c r="AE8" s="1435"/>
      <c r="AF8" s="1435"/>
      <c r="AG8" s="1435"/>
      <c r="AH8" s="1435"/>
      <c r="AI8" s="1435"/>
      <c r="AJ8" s="1436"/>
    </row>
    <row r="9" spans="1:74" x14ac:dyDescent="0.25">
      <c r="A9" s="1445" t="s">
        <v>7</v>
      </c>
      <c r="B9" s="1446"/>
      <c r="C9" s="1446"/>
      <c r="D9" s="1446"/>
      <c r="E9" s="1446"/>
      <c r="F9" s="1446"/>
      <c r="G9" s="1446"/>
      <c r="H9" s="1446"/>
      <c r="I9" s="1447"/>
      <c r="J9" s="1001" t="str">
        <f>'BASE GRANTEE INFO &amp; UPDATES'!E9</f>
        <v>September 1 - 30</v>
      </c>
      <c r="K9" s="1457"/>
      <c r="L9" s="1457"/>
      <c r="M9" s="1457"/>
      <c r="N9" s="1002"/>
      <c r="O9" s="1454">
        <f>'BASE GRANTEE INFO &amp; UPDATES'!G9</f>
        <v>2024</v>
      </c>
      <c r="P9" s="1455"/>
      <c r="Q9" s="1455"/>
      <c r="R9" s="1456"/>
      <c r="S9" s="1424" t="s">
        <v>8</v>
      </c>
      <c r="T9" s="1425"/>
      <c r="U9" s="1425"/>
      <c r="V9" s="1425"/>
      <c r="W9" s="1425"/>
      <c r="X9" s="1425"/>
      <c r="Y9" s="1425"/>
      <c r="Z9" s="1426"/>
      <c r="AA9" s="1434">
        <f>'BASE GRANTEE INFO &amp; UPDATES'!M9</f>
        <v>0</v>
      </c>
      <c r="AB9" s="1435"/>
      <c r="AC9" s="1435"/>
      <c r="AD9" s="1435"/>
      <c r="AE9" s="1435"/>
      <c r="AF9" s="1435"/>
      <c r="AG9" s="1435"/>
      <c r="AH9" s="1435"/>
      <c r="AI9" s="1435"/>
      <c r="AJ9" s="1436"/>
    </row>
    <row r="10" spans="1:74" ht="18.75" x14ac:dyDescent="0.25">
      <c r="A10" s="1419" t="s">
        <v>488</v>
      </c>
      <c r="B10" s="1420"/>
      <c r="C10" s="1420"/>
      <c r="D10" s="1420"/>
      <c r="E10" s="1420"/>
      <c r="F10" s="1420"/>
      <c r="G10" s="1420"/>
      <c r="H10" s="1420"/>
      <c r="I10" s="1420"/>
      <c r="J10" s="1420"/>
      <c r="K10" s="1420"/>
      <c r="L10" s="1420"/>
      <c r="M10" s="1420"/>
      <c r="N10" s="1420"/>
      <c r="O10" s="1420"/>
      <c r="P10" s="1420"/>
      <c r="Q10" s="1420"/>
      <c r="R10" s="1420"/>
      <c r="S10" s="1420"/>
      <c r="T10" s="1420"/>
      <c r="U10" s="1420"/>
      <c r="V10" s="1420"/>
      <c r="W10" s="1420"/>
      <c r="X10" s="1420"/>
      <c r="Y10" s="1420"/>
      <c r="Z10" s="1420"/>
      <c r="AA10" s="1420"/>
      <c r="AB10" s="1420"/>
      <c r="AC10" s="1420"/>
      <c r="AD10" s="1420"/>
      <c r="AE10" s="1420"/>
      <c r="AF10" s="1420"/>
      <c r="AG10" s="1420"/>
      <c r="AH10" s="1420"/>
      <c r="AI10" s="1420"/>
      <c r="AJ10" s="1421"/>
    </row>
    <row r="11" spans="1:74" x14ac:dyDescent="0.25">
      <c r="BV11" s="297"/>
    </row>
    <row r="12" spans="1:74" ht="30" customHeight="1" x14ac:dyDescent="0.25">
      <c r="A12" s="1422" t="s">
        <v>450</v>
      </c>
      <c r="B12" s="1423"/>
      <c r="C12" s="1423"/>
      <c r="D12" s="1423"/>
      <c r="E12" s="1423"/>
      <c r="F12" s="1423"/>
      <c r="G12" s="1423"/>
      <c r="H12" s="1423"/>
      <c r="I12" s="1423"/>
      <c r="J12" s="1423"/>
      <c r="K12" s="1423"/>
      <c r="L12" s="1423"/>
      <c r="M12" s="1423"/>
      <c r="N12" s="1423"/>
      <c r="O12" s="1423"/>
      <c r="P12" s="1423"/>
      <c r="Q12" s="1423"/>
      <c r="R12" s="1423"/>
      <c r="S12" s="1423"/>
      <c r="T12" s="1423"/>
      <c r="U12" s="1423"/>
      <c r="V12" s="1423"/>
      <c r="W12" s="1423"/>
      <c r="X12" s="1423"/>
      <c r="Y12" s="1423"/>
      <c r="Z12" s="1423"/>
      <c r="AA12" s="1423"/>
      <c r="AB12" s="1423"/>
      <c r="AC12" s="1423"/>
      <c r="AD12" s="1423"/>
      <c r="AE12" s="1423"/>
      <c r="AF12" s="1423"/>
      <c r="AG12" s="1423"/>
      <c r="AH12" s="1423"/>
      <c r="AI12" s="1423"/>
      <c r="AJ12" s="1423"/>
    </row>
    <row r="13" spans="1:74" x14ac:dyDescent="0.25">
      <c r="AK13" s="3"/>
    </row>
    <row r="14" spans="1:74" ht="15.75" customHeight="1" x14ac:dyDescent="0.25">
      <c r="D14" s="1393" t="s">
        <v>460</v>
      </c>
      <c r="E14" s="1394"/>
      <c r="F14" s="1394"/>
      <c r="G14" s="1394"/>
      <c r="H14" s="1394"/>
      <c r="I14" s="1394"/>
      <c r="J14" s="1394"/>
      <c r="K14" s="1394"/>
      <c r="L14" s="1394"/>
      <c r="M14" s="1394"/>
      <c r="N14" s="1394"/>
      <c r="O14" s="1394"/>
      <c r="P14" s="1394"/>
      <c r="Q14" s="1394"/>
      <c r="R14" s="1394"/>
      <c r="S14" s="1394"/>
      <c r="T14" s="1394"/>
      <c r="U14" s="1394"/>
      <c r="V14" s="1394"/>
      <c r="W14" s="1394"/>
      <c r="X14" s="1394"/>
      <c r="Y14" s="1394"/>
      <c r="Z14" s="1394"/>
      <c r="AA14" s="1394"/>
      <c r="AB14" s="1394"/>
      <c r="AC14" s="1394"/>
      <c r="AD14" s="1394"/>
      <c r="AE14" s="1394"/>
      <c r="AF14" s="1394"/>
      <c r="AG14" s="1394"/>
      <c r="AH14" s="1395"/>
      <c r="AK14" s="3"/>
    </row>
    <row r="15" spans="1:74" ht="15.75" customHeight="1" x14ac:dyDescent="0.25">
      <c r="D15" s="1396" t="s">
        <v>461</v>
      </c>
      <c r="E15" s="1396"/>
      <c r="F15" s="1396"/>
      <c r="G15" s="1397" t="e">
        <f>'BASE GRANTEE INFO &amp; UPDATES'!#REF!</f>
        <v>#REF!</v>
      </c>
      <c r="H15" s="1397"/>
      <c r="I15" s="1398" t="e">
        <f>'BASE GRANTEE INFO &amp; UPDATES'!#REF!</f>
        <v>#REF!</v>
      </c>
      <c r="J15" s="1398"/>
      <c r="K15" s="1397" t="e">
        <f>'BASE GRANTEE INFO &amp; UPDATES'!#REF!</f>
        <v>#REF!</v>
      </c>
      <c r="L15" s="1397"/>
      <c r="M15" s="1398" t="e">
        <f>'BASE GRANTEE INFO &amp; UPDATES'!#REF!</f>
        <v>#REF!</v>
      </c>
      <c r="N15" s="1398"/>
      <c r="O15" s="1397" t="e">
        <f>'BASE GRANTEE INFO &amp; UPDATES'!#REF!</f>
        <v>#REF!</v>
      </c>
      <c r="P15" s="1397"/>
      <c r="Q15" s="1398" t="e">
        <f>'BASE GRANTEE INFO &amp; UPDATES'!#REF!</f>
        <v>#REF!</v>
      </c>
      <c r="R15" s="1398"/>
      <c r="S15" s="1397" t="e">
        <f>'BASE GRANTEE INFO &amp; UPDATES'!#REF!</f>
        <v>#REF!</v>
      </c>
      <c r="T15" s="1397"/>
      <c r="U15" s="1398" t="e">
        <f>'BASE GRANTEE INFO &amp; UPDATES'!#REF!</f>
        <v>#REF!</v>
      </c>
      <c r="V15" s="1398"/>
      <c r="W15" s="1397" t="e">
        <f>'BASE GRANTEE INFO &amp; UPDATES'!#REF!</f>
        <v>#REF!</v>
      </c>
      <c r="X15" s="1397"/>
      <c r="Y15" s="1398" t="e">
        <f>'BASE GRANTEE INFO &amp; UPDATES'!#REF!</f>
        <v>#REF!</v>
      </c>
      <c r="Z15" s="1398"/>
      <c r="AA15" s="1397" t="e">
        <f>'BASE GRANTEE INFO &amp; UPDATES'!#REF!</f>
        <v>#REF!</v>
      </c>
      <c r="AB15" s="1397"/>
      <c r="AC15" s="1398" t="e">
        <f>'BASE GRANTEE INFO &amp; UPDATES'!#REF!</f>
        <v>#REF!</v>
      </c>
      <c r="AD15" s="1398"/>
      <c r="AE15" s="1397" t="e">
        <f>'BASE GRANTEE INFO &amp; UPDATES'!#REF!</f>
        <v>#REF!</v>
      </c>
      <c r="AF15" s="1397"/>
      <c r="AG15" s="1398" t="e">
        <f>'BASE GRANTEE INFO &amp; UPDATES'!#REF!</f>
        <v>#REF!</v>
      </c>
      <c r="AH15" s="1398"/>
      <c r="AK15" s="3"/>
    </row>
    <row r="16" spans="1:74" x14ac:dyDescent="0.25">
      <c r="D16" s="1377" t="s">
        <v>462</v>
      </c>
      <c r="E16" s="1377"/>
      <c r="F16" s="1377"/>
      <c r="G16" s="1387" t="e">
        <f>'BASE GRANTEE INFO &amp; UPDATES'!#REF!</f>
        <v>#REF!</v>
      </c>
      <c r="H16" s="1387"/>
      <c r="I16" s="1388" t="e">
        <f>'BASE GRANTEE INFO &amp; UPDATES'!#REF!</f>
        <v>#REF!</v>
      </c>
      <c r="J16" s="1388"/>
      <c r="K16" s="1389" t="e">
        <f>'BASE GRANTEE INFO &amp; UPDATES'!#REF!</f>
        <v>#REF!</v>
      </c>
      <c r="L16" s="1389"/>
      <c r="M16" s="1388" t="e">
        <f>'BASE GRANTEE INFO &amp; UPDATES'!#REF!</f>
        <v>#REF!</v>
      </c>
      <c r="N16" s="1388"/>
      <c r="O16" s="1389" t="e">
        <f>'BASE GRANTEE INFO &amp; UPDATES'!#REF!</f>
        <v>#REF!</v>
      </c>
      <c r="P16" s="1389"/>
      <c r="Q16" s="1388" t="e">
        <f>'BASE GRANTEE INFO &amp; UPDATES'!#REF!</f>
        <v>#REF!</v>
      </c>
      <c r="R16" s="1388"/>
      <c r="S16" s="1374" t="e">
        <f>'BASE GRANTEE INFO &amp; UPDATES'!#REF!</f>
        <v>#REF!</v>
      </c>
      <c r="T16" s="1374"/>
      <c r="U16" s="1373" t="e">
        <f>'BASE GRANTEE INFO &amp; UPDATES'!#REF!</f>
        <v>#REF!</v>
      </c>
      <c r="V16" s="1373"/>
      <c r="W16" s="1374" t="e">
        <f>'BASE GRANTEE INFO &amp; UPDATES'!#REF!</f>
        <v>#REF!</v>
      </c>
      <c r="X16" s="1374"/>
      <c r="Y16" s="1373" t="e">
        <f>'BASE GRANTEE INFO &amp; UPDATES'!#REF!</f>
        <v>#REF!</v>
      </c>
      <c r="Z16" s="1373"/>
      <c r="AA16" s="1374" t="e">
        <f>'BASE GRANTEE INFO &amp; UPDATES'!#REF!</f>
        <v>#REF!</v>
      </c>
      <c r="AB16" s="1374"/>
      <c r="AC16" s="1373" t="e">
        <f>'BASE GRANTEE INFO &amp; UPDATES'!#REF!</f>
        <v>#REF!</v>
      </c>
      <c r="AD16" s="1373"/>
      <c r="AE16" s="1374" t="e">
        <f>'BASE GRANTEE INFO &amp; UPDATES'!#REF!</f>
        <v>#REF!</v>
      </c>
      <c r="AF16" s="1374"/>
      <c r="AG16" s="1373" t="e">
        <f>'BASE GRANTEE INFO &amp; UPDATES'!#REF!</f>
        <v>#REF!</v>
      </c>
      <c r="AH16" s="1373"/>
      <c r="AK16" s="3"/>
    </row>
    <row r="17" spans="1:39" x14ac:dyDescent="0.25">
      <c r="D17" s="1377" t="s">
        <v>499</v>
      </c>
      <c r="E17" s="1377"/>
      <c r="F17" s="1377"/>
      <c r="G17" s="1387" t="e">
        <f>'BASE GRANTEE INFO &amp; UPDATES'!#REF!</f>
        <v>#REF!</v>
      </c>
      <c r="H17" s="1387"/>
      <c r="I17" s="1388" t="e">
        <f>'BASE GRANTEE INFO &amp; UPDATES'!#REF!</f>
        <v>#REF!</v>
      </c>
      <c r="J17" s="1388"/>
      <c r="K17" s="1389" t="e">
        <f>'BASE GRANTEE INFO &amp; UPDATES'!#REF!</f>
        <v>#REF!</v>
      </c>
      <c r="L17" s="1389"/>
      <c r="M17" s="1388" t="e">
        <f>'BASE GRANTEE INFO &amp; UPDATES'!#REF!</f>
        <v>#REF!</v>
      </c>
      <c r="N17" s="1388"/>
      <c r="O17" s="1389" t="e">
        <f>'BASE GRANTEE INFO &amp; UPDATES'!#REF!</f>
        <v>#REF!</v>
      </c>
      <c r="P17" s="1389"/>
      <c r="Q17" s="1388" t="e">
        <f>'BASE GRANTEE INFO &amp; UPDATES'!#REF!</f>
        <v>#REF!</v>
      </c>
      <c r="R17" s="1388"/>
      <c r="S17" s="1374" t="e">
        <f>'BASE GRANTEE INFO &amp; UPDATES'!#REF!</f>
        <v>#REF!</v>
      </c>
      <c r="T17" s="1374"/>
      <c r="U17" s="1373" t="e">
        <f>'BASE GRANTEE INFO &amp; UPDATES'!#REF!</f>
        <v>#REF!</v>
      </c>
      <c r="V17" s="1373"/>
      <c r="W17" s="1374" t="e">
        <f>'BASE GRANTEE INFO &amp; UPDATES'!#REF!</f>
        <v>#REF!</v>
      </c>
      <c r="X17" s="1374"/>
      <c r="Y17" s="1373" t="e">
        <f>'BASE GRANTEE INFO &amp; UPDATES'!#REF!</f>
        <v>#REF!</v>
      </c>
      <c r="Z17" s="1373"/>
      <c r="AA17" s="1374" t="e">
        <f>'BASE GRANTEE INFO &amp; UPDATES'!#REF!</f>
        <v>#REF!</v>
      </c>
      <c r="AB17" s="1374"/>
      <c r="AC17" s="1373" t="e">
        <f>'BASE GRANTEE INFO &amp; UPDATES'!#REF!</f>
        <v>#REF!</v>
      </c>
      <c r="AD17" s="1373"/>
      <c r="AE17" s="1374" t="e">
        <f>'BASE GRANTEE INFO &amp; UPDATES'!#REF!</f>
        <v>#REF!</v>
      </c>
      <c r="AF17" s="1374"/>
      <c r="AG17" s="1373" t="e">
        <f>'BASE GRANTEE INFO &amp; UPDATES'!#REF!</f>
        <v>#REF!</v>
      </c>
      <c r="AH17" s="1373"/>
      <c r="AK17" s="3"/>
    </row>
    <row r="18" spans="1:39" x14ac:dyDescent="0.25">
      <c r="AK18" s="3"/>
    </row>
    <row r="19" spans="1:39" x14ac:dyDescent="0.25">
      <c r="AH19" s="328"/>
      <c r="AI19" s="328"/>
      <c r="AJ19" s="328"/>
      <c r="AK19" s="3"/>
      <c r="AL19" s="328"/>
      <c r="AM19" s="328"/>
    </row>
    <row r="20" spans="1:39" ht="30" customHeight="1" x14ac:dyDescent="0.25">
      <c r="A20" s="1433" t="s">
        <v>451</v>
      </c>
      <c r="B20" s="1433"/>
      <c r="C20" s="1433"/>
      <c r="D20" s="1433"/>
      <c r="E20" s="1433"/>
      <c r="F20" s="1433"/>
      <c r="G20" s="1433"/>
      <c r="H20" s="1433"/>
      <c r="I20" s="1433"/>
      <c r="J20" s="1433"/>
      <c r="K20" s="1433"/>
      <c r="L20" s="1433"/>
      <c r="M20" s="1433"/>
      <c r="N20" s="1433"/>
      <c r="O20" s="1433"/>
      <c r="P20" s="1433"/>
      <c r="Q20" s="1433"/>
    </row>
    <row r="21" spans="1:39" ht="18.75" x14ac:dyDescent="0.3">
      <c r="A21" s="1432" t="s">
        <v>508</v>
      </c>
      <c r="B21" s="1432"/>
      <c r="C21" s="1432"/>
      <c r="D21" s="1432"/>
      <c r="E21" s="1432"/>
      <c r="F21" s="1432"/>
      <c r="G21" s="1432"/>
      <c r="H21" s="1432"/>
      <c r="I21" s="1432"/>
      <c r="J21" s="1432"/>
      <c r="K21" s="1432"/>
      <c r="L21" s="1432"/>
      <c r="M21" s="1432"/>
      <c r="N21" s="1432"/>
      <c r="O21" s="1432"/>
      <c r="P21" s="1432"/>
      <c r="Q21" s="1432"/>
      <c r="R21" s="1432"/>
      <c r="S21" s="1432"/>
      <c r="T21" s="1432"/>
      <c r="U21" s="1432"/>
      <c r="V21" s="1432"/>
      <c r="W21" s="1432"/>
      <c r="X21" s="1432"/>
      <c r="Y21" s="1432"/>
      <c r="Z21" s="1432"/>
      <c r="AA21" s="1432"/>
      <c r="AB21" s="1432"/>
      <c r="AC21" s="1432"/>
      <c r="AD21" s="1432"/>
      <c r="AE21" s="1432"/>
      <c r="AF21" s="1432"/>
      <c r="AG21" s="1432"/>
      <c r="AH21" s="1432"/>
      <c r="AI21" s="1432"/>
      <c r="AJ21" s="1432"/>
      <c r="AK21" s="1432"/>
      <c r="AL21" s="1432"/>
      <c r="AM21" s="1432"/>
    </row>
    <row r="22" spans="1:39" x14ac:dyDescent="0.25">
      <c r="A22" s="299"/>
      <c r="B22" s="299"/>
      <c r="C22" s="1427" t="s">
        <v>28</v>
      </c>
      <c r="D22" s="1427"/>
      <c r="E22" s="1427"/>
      <c r="F22" s="1427"/>
      <c r="G22" s="1427"/>
      <c r="H22" s="1427"/>
      <c r="I22" s="1427"/>
      <c r="J22" s="1427"/>
      <c r="K22" s="1427"/>
      <c r="L22" s="1427"/>
      <c r="M22" s="1427"/>
      <c r="N22" s="1427"/>
      <c r="O22" s="1427"/>
      <c r="P22" s="1427"/>
      <c r="Q22" s="1427"/>
      <c r="R22" s="1427"/>
      <c r="S22" s="1427"/>
      <c r="T22" s="1427"/>
      <c r="U22" s="1427"/>
      <c r="V22" s="1427"/>
      <c r="W22" s="1427"/>
      <c r="X22" s="1427"/>
      <c r="Y22" s="1427"/>
      <c r="Z22" s="1427"/>
      <c r="AA22" s="299"/>
      <c r="AB22" s="1427" t="s">
        <v>463</v>
      </c>
      <c r="AC22" s="1427"/>
      <c r="AD22" s="1427"/>
      <c r="AE22" s="1427"/>
      <c r="AF22" s="1427"/>
      <c r="AG22" s="1427"/>
      <c r="AH22" s="1427"/>
      <c r="AI22" s="1427"/>
      <c r="AJ22" s="1427"/>
      <c r="AK22" s="1427"/>
      <c r="AL22" s="1427"/>
      <c r="AM22" s="1427"/>
    </row>
    <row r="23" spans="1:39" ht="45" customHeight="1" x14ac:dyDescent="0.25">
      <c r="A23" s="1463" t="s">
        <v>475</v>
      </c>
      <c r="B23" s="1464"/>
      <c r="C23" s="1378" t="s">
        <v>58</v>
      </c>
      <c r="D23" s="1379"/>
      <c r="E23" s="1386"/>
      <c r="F23" s="1378" t="s">
        <v>509</v>
      </c>
      <c r="G23" s="1379"/>
      <c r="H23" s="1386"/>
      <c r="I23" s="1378" t="s">
        <v>68</v>
      </c>
      <c r="J23" s="1379"/>
      <c r="K23" s="1379"/>
      <c r="L23" s="1378" t="s">
        <v>51</v>
      </c>
      <c r="M23" s="1379"/>
      <c r="N23" s="1379"/>
      <c r="O23" s="1378" t="s">
        <v>473</v>
      </c>
      <c r="P23" s="1379"/>
      <c r="Q23" s="1386"/>
      <c r="R23" s="1378" t="s">
        <v>464</v>
      </c>
      <c r="S23" s="1379"/>
      <c r="T23" s="1386"/>
      <c r="U23" s="1378" t="s">
        <v>465</v>
      </c>
      <c r="V23" s="1379"/>
      <c r="W23" s="1379"/>
      <c r="X23" s="1383" t="s">
        <v>466</v>
      </c>
      <c r="Y23" s="1384"/>
      <c r="Z23" s="1385"/>
      <c r="AA23" s="298"/>
      <c r="AB23" s="1390" t="s">
        <v>37</v>
      </c>
      <c r="AC23" s="1391"/>
      <c r="AD23" s="1391"/>
      <c r="AE23" s="1375" t="s">
        <v>467</v>
      </c>
      <c r="AF23" s="1376"/>
      <c r="AG23" s="1376"/>
      <c r="AH23" s="1375" t="s">
        <v>465</v>
      </c>
      <c r="AI23" s="1376"/>
      <c r="AJ23" s="1376"/>
      <c r="AK23" s="1460" t="s">
        <v>466</v>
      </c>
      <c r="AL23" s="1461"/>
      <c r="AM23" s="1462"/>
    </row>
    <row r="24" spans="1:39" ht="30" customHeight="1" x14ac:dyDescent="0.25">
      <c r="A24" s="1465" t="s">
        <v>501</v>
      </c>
      <c r="B24" s="1463"/>
      <c r="C24" s="316" t="s">
        <v>38</v>
      </c>
      <c r="D24" s="312" t="s">
        <v>45</v>
      </c>
      <c r="E24" s="358" t="s">
        <v>504</v>
      </c>
      <c r="F24" s="316" t="s">
        <v>38</v>
      </c>
      <c r="G24" s="312" t="s">
        <v>45</v>
      </c>
      <c r="H24" s="363" t="s">
        <v>504</v>
      </c>
      <c r="I24" s="316" t="s">
        <v>38</v>
      </c>
      <c r="J24" s="312" t="s">
        <v>45</v>
      </c>
      <c r="K24" s="363" t="s">
        <v>504</v>
      </c>
      <c r="L24" s="316" t="s">
        <v>38</v>
      </c>
      <c r="M24" s="312" t="s">
        <v>45</v>
      </c>
      <c r="N24" s="363" t="s">
        <v>504</v>
      </c>
      <c r="O24" s="316" t="s">
        <v>38</v>
      </c>
      <c r="P24" s="312" t="s">
        <v>45</v>
      </c>
      <c r="Q24" s="363" t="s">
        <v>504</v>
      </c>
      <c r="R24" s="316" t="s">
        <v>38</v>
      </c>
      <c r="S24" s="312" t="s">
        <v>45</v>
      </c>
      <c r="T24" s="363" t="s">
        <v>504</v>
      </c>
      <c r="U24" s="316" t="s">
        <v>38</v>
      </c>
      <c r="V24" s="312" t="s">
        <v>45</v>
      </c>
      <c r="W24" s="363" t="s">
        <v>504</v>
      </c>
      <c r="X24" s="350" t="s">
        <v>38</v>
      </c>
      <c r="Y24" s="351" t="s">
        <v>45</v>
      </c>
      <c r="Z24" s="361" t="s">
        <v>504</v>
      </c>
      <c r="AA24" s="311" t="s">
        <v>238</v>
      </c>
      <c r="AB24" s="313" t="s">
        <v>38</v>
      </c>
      <c r="AC24" s="314" t="s">
        <v>45</v>
      </c>
      <c r="AD24" s="365" t="s">
        <v>504</v>
      </c>
      <c r="AE24" s="318" t="s">
        <v>38</v>
      </c>
      <c r="AF24" s="314" t="s">
        <v>45</v>
      </c>
      <c r="AG24" s="365" t="s">
        <v>504</v>
      </c>
      <c r="AH24" s="318" t="s">
        <v>38</v>
      </c>
      <c r="AI24" s="314" t="s">
        <v>45</v>
      </c>
      <c r="AJ24" s="327" t="s">
        <v>504</v>
      </c>
      <c r="AK24" s="352" t="s">
        <v>38</v>
      </c>
      <c r="AL24" s="353" t="s">
        <v>45</v>
      </c>
      <c r="AM24" s="354" t="s">
        <v>504</v>
      </c>
    </row>
    <row r="25" spans="1:39" x14ac:dyDescent="0.25">
      <c r="A25" s="1380" t="s">
        <v>474</v>
      </c>
      <c r="B25" s="1381"/>
      <c r="C25" s="321">
        <f>COUNTIFS('2DEMOGRAPHICS'!G13:G5000,"&gt;=0",'2DEMOGRAPHICS'!G13:G5000,"&lt;=12",'2DEMOGRAPHICS'!H13:H5000,"White",'2DEMOGRAPHICS'!K13:K5000,"Male")</f>
        <v>1</v>
      </c>
      <c r="D25" s="307">
        <f>COUNTIFS('2DEMOGRAPHICS'!G13:G5000,"&gt;=0",'2DEMOGRAPHICS'!G13:G5000,"&lt;=12",'2DEMOGRAPHICS'!H13:H5000,"White",'2DEMOGRAPHICS'!K13:K5000,"Female",'2DEMOGRAPHICS'!L13:L5000,"NO")</f>
        <v>0</v>
      </c>
      <c r="E25" s="359">
        <f>COUNTIFS('2DEMOGRAPHICS'!G13:G5000,"&gt;=0",'2DEMOGRAPHICS'!G13:G5000,"&lt;=12",'2DEMOGRAPHICS'!H13:H5000,"White",'2DEMOGRAPHICS'!K13:K5000,"Transgender")</f>
        <v>0</v>
      </c>
      <c r="F25" s="317">
        <f>COUNTIFS('2DEMOGRAPHICS'!G13:G5000,"&gt;=0",'2DEMOGRAPHICS'!G13:G5000,"&lt;=12",'2DEMOGRAPHICS'!H13:H5000,"African American /Black",'2DEMOGRAPHICS'!K13:K5000,"Male")</f>
        <v>0</v>
      </c>
      <c r="G25" s="307">
        <f>COUNTIFS('2DEMOGRAPHICS'!G13:G5000,"&gt;=0",'2DEMOGRAPHICS'!G13:G5000,"&lt;=12",'2DEMOGRAPHICS'!H13:H5000,"African American /Black",'2DEMOGRAPHICS'!K13:K5000,"Female",'2DEMOGRAPHICS'!L13:L5000,"NO")</f>
        <v>0</v>
      </c>
      <c r="H25" s="364">
        <f>COUNTIFS('2DEMOGRAPHICS'!G13:G5000,"&gt;=0",'2DEMOGRAPHICS'!G13:G5000,"&lt;=12",'2DEMOGRAPHICS'!H13:H5000,"African American /Black",'2DEMOGRAPHICS'!K13:K5000,"Female")</f>
        <v>0</v>
      </c>
      <c r="I25" s="317">
        <f>COUNTIFS('2DEMOGRAPHICS'!G13:G5000,"&gt;=0",'2DEMOGRAPHICS'!G13:G5000,"&lt;=12",'2DEMOGRAPHICS'!H13:H5000,"Native Hawaiian / Other Pacific Islander",'2DEMOGRAPHICS'!K13:K5000,"Male")</f>
        <v>0</v>
      </c>
      <c r="J25" s="307">
        <f>COUNTIFS('2DEMOGRAPHICS'!G13:G5000,"&gt;=0",'2DEMOGRAPHICS'!G13:G5000,"&lt;=12",'2DEMOGRAPHICS'!H13:H5000,"Native Hawaiian / Other Pacific Islander",'2DEMOGRAPHICS'!K13:K5000,"Female",'2DEMOGRAPHICS'!L13:L5000,"NO")</f>
        <v>0</v>
      </c>
      <c r="K25" s="364">
        <f>COUNTIFS('2DEMOGRAPHICS'!G13:G5000,"&gt;=0",'2DEMOGRAPHICS'!G13:G5000,"&lt;=12",'2DEMOGRAPHICS'!H13:H5000,"Native Hawaiian / Other Pacific Islander",'2DEMOGRAPHICS'!K13:K5000,"Transgender")</f>
        <v>0</v>
      </c>
      <c r="L25" s="317">
        <f>COUNTIFS('2DEMOGRAPHICS'!G13:G5000,"&gt;=0",'2DEMOGRAPHICS'!G13:G5000,"&lt;=12",'2DEMOGRAPHICS'!H13:H5000,"Asian",'2DEMOGRAPHICS'!K13:K5000,"Male")</f>
        <v>0</v>
      </c>
      <c r="M25" s="307">
        <f>COUNTIFS('2DEMOGRAPHICS'!G13:G5000,"&gt;=0",'2DEMOGRAPHICS'!G13:G5000,"&lt;=12",'2DEMOGRAPHICS'!H13:H5000,"Asian",'2DEMOGRAPHICS'!K13:K5000,"Female",'2DEMOGRAPHICS'!L13:L5000,"NO")</f>
        <v>0</v>
      </c>
      <c r="N25" s="364">
        <f>COUNTIFS('2DEMOGRAPHICS'!G13:G5000,"&gt;=0",'2DEMOGRAPHICS'!G13:G5000,"&lt;=12",'2DEMOGRAPHICS'!H13:H5000,"Asian",'2DEMOGRAPHICS'!K13:K5000,"Transgender")</f>
        <v>0</v>
      </c>
      <c r="O25" s="317">
        <f>COUNTIFS('2DEMOGRAPHICS'!G13:G5000,"&gt;=0",'2DEMOGRAPHICS'!G13:G5000,"&lt;=12",'2DEMOGRAPHICS'!H13:H5000,"American Indian / Alaska Native",'2DEMOGRAPHICS'!K13:K5000,"Male")</f>
        <v>0</v>
      </c>
      <c r="P25" s="307">
        <f>COUNTIFS('2DEMOGRAPHICS'!G13:G5000,"&gt;=0",'2DEMOGRAPHICS'!G13:G5000,"&lt;=12",'2DEMOGRAPHICS'!H13:H5000,"American Indian / Alaska Native",'2DEMOGRAPHICS'!K13:K5000,"Female",'2DEMOGRAPHICS'!L13:L5000,"NO")</f>
        <v>0</v>
      </c>
      <c r="Q25" s="364">
        <f>COUNTIFS('2DEMOGRAPHICS'!G13:G5000,"&gt;=0",'2DEMOGRAPHICS'!G13:G5000,"&lt;=12",'2DEMOGRAPHICS'!H13:H5000,"American Indian / Alaska Native",'2DEMOGRAPHICS'!K13:K5000,"Transgender")</f>
        <v>0</v>
      </c>
      <c r="R25" s="317">
        <f>COUNTIFS('2DEMOGRAPHICS'!G13:G5000,"&gt;=0",'2DEMOGRAPHICS'!G13:G5000,"&lt;=12",'2DEMOGRAPHICS'!H13:H5000,"More than one race reported",'2DEMOGRAPHICS'!K13:K5000,"Male")</f>
        <v>0</v>
      </c>
      <c r="S25" s="307">
        <f>COUNTIFS('2DEMOGRAPHICS'!G13:G5000,"&gt;=0",'2DEMOGRAPHICS'!G13:G5000,"&lt;=12",'2DEMOGRAPHICS'!H13:H5000,"More than one race reported",'2DEMOGRAPHICS'!K13:K5000,"Female",'2DEMOGRAPHICS'!L13:L5000,"NO")</f>
        <v>0</v>
      </c>
      <c r="T25" s="364">
        <f>COUNTIFS('2DEMOGRAPHICS'!G13:G5000,"&gt;=0",'2DEMOGRAPHICS'!G13:G5000,"&lt;=12",'2DEMOGRAPHICS'!H13:H5000,"More than one race reported",'2DEMOGRAPHICS'!K13:K5000,"Transgender")</f>
        <v>0</v>
      </c>
      <c r="U25" s="317">
        <f>COUNTIFS('2DEMOGRAPHICS'!G13:G5000,"&gt;=0",'2DEMOGRAPHICS'!G13:G5000,"&lt;=12",'2DEMOGRAPHICS'!H13:H5000,"Unknown",'2DEMOGRAPHICS'!K13:K5000,"Male")</f>
        <v>0</v>
      </c>
      <c r="V25" s="307">
        <f>COUNTIFS('2DEMOGRAPHICS'!G13:G5000,"&gt;=0",'2DEMOGRAPHICS'!G13:G5000,"&lt;=12",'2DEMOGRAPHICS'!H13:H5000,"Unknown",'2DEMOGRAPHICS'!K13:K5000,"Female",'2DEMOGRAPHICS'!L13:L5000,"NO")</f>
        <v>0</v>
      </c>
      <c r="W25" s="364">
        <f>COUNTIFS('2DEMOGRAPHICS'!G13:G5000,"&gt;=0",'2DEMOGRAPHICS'!G13:G5000,"&lt;=12",'2DEMOGRAPHICS'!H13:H5000,"Unknown",'2DEMOGRAPHICS'!K13:K5000,"Transgender")</f>
        <v>0</v>
      </c>
      <c r="X25" s="348">
        <f t="shared" ref="X25:X35" si="0">C25+F25+I25+L25+O25+R25+U25</f>
        <v>1</v>
      </c>
      <c r="Y25" s="349">
        <f>D25+G25+J25+M25+P25+S25+V25</f>
        <v>0</v>
      </c>
      <c r="Z25" s="362">
        <f>E25+H25+K25+N25+Q25+T25+W25</f>
        <v>0</v>
      </c>
      <c r="AA25" s="310" t="s">
        <v>474</v>
      </c>
      <c r="AB25" s="309">
        <f>COUNTIFS('2DEMOGRAPHICS'!G13:G5000,"&gt;=0",'2DEMOGRAPHICS'!G13:G5000,"&lt;=12",'2DEMOGRAPHICS'!I13:I5000,"Not Hispanic or Latino",'2DEMOGRAPHICS'!K13:K5000,"Male")</f>
        <v>2</v>
      </c>
      <c r="AC25" s="300">
        <f>COUNTIFS('2DEMOGRAPHICS'!G13:G5000,"&gt;=0",'2DEMOGRAPHICS'!G13:G5000,"&lt;=12",'2DEMOGRAPHICS'!I13:I5000,"Not Hispanic or Latino",'2DEMOGRAPHICS'!K13:K5000,"Female",'2DEMOGRAPHICS'!L13:L5000,"NO")</f>
        <v>0</v>
      </c>
      <c r="AD25" s="366">
        <f>COUNTIFS('2DEMOGRAPHICS'!G13:G5000,"&gt;=0",'2DEMOGRAPHICS'!G13:G5000,"&lt;=12",'2DEMOGRAPHICS'!I13:I5000,"Not Hispanic or Latino",'2DEMOGRAPHICS'!K13:K5000,"Transgender")</f>
        <v>1</v>
      </c>
      <c r="AE25" s="319">
        <f>COUNTIFS('2DEMOGRAPHICS'!G13:G5000,"&gt;=0",'2DEMOGRAPHICS'!G13:G5000,"&lt;=12",'2DEMOGRAPHICS'!I13:I5000,"Hispanic-Latino ",'2DEMOGRAPHICS'!K13:K5000,"Male")</f>
        <v>0</v>
      </c>
      <c r="AF25" s="300">
        <f>COUNTIFS('2DEMOGRAPHICS'!G13:G5000,"&gt;=0",'2DEMOGRAPHICS'!G13:G5000,"&lt;=12",'2DEMOGRAPHICS'!I13:I5000,"Hispanic-Latino ",'2DEMOGRAPHICS'!K13:K5000,"Female",'2DEMOGRAPHICS'!L13:L5000,"NO")</f>
        <v>0</v>
      </c>
      <c r="AG25" s="366">
        <f>COUNTIFS('2DEMOGRAPHICS'!G13:G5000,"&gt;=0",'2DEMOGRAPHICS'!G13:G5000,"&lt;=12",'2DEMOGRAPHICS'!I13:I5000,"Hispanic-Latino ",'2DEMOGRAPHICS'!K13:K5000,"Transgender")</f>
        <v>0</v>
      </c>
      <c r="AH25" s="319">
        <f>COUNTIFS('2DEMOGRAPHICS'!G13:G5000,"&gt;=0",'2DEMOGRAPHICS'!G13:G5000,"&lt;=12",'2DEMOGRAPHICS'!I13:I5000,"Unknown",'2DEMOGRAPHICS'!K13:K5000,"Male")</f>
        <v>0</v>
      </c>
      <c r="AI25" s="300">
        <f>COUNTIFS('2DEMOGRAPHICS'!G13:G5000,"&gt;=0",'2DEMOGRAPHICS'!G13:G5000,"&lt;=12",'2DEMOGRAPHICS'!I13:I5000,"Unknown",'2DEMOGRAPHICS'!K13:K5000,"Female",'2DEMOGRAPHICS'!L13:L5000,"NO")</f>
        <v>0</v>
      </c>
      <c r="AJ25" s="326">
        <f>COUNTIFS('2DEMOGRAPHICS'!G13:G5000,"&gt;=0",'2DEMOGRAPHICS'!G13:G5000,"&lt;=12",'2DEMOGRAPHICS'!I13:I5000,"Unknown",'2DEMOGRAPHICS'!K13:K5000,"Transgender")</f>
        <v>0</v>
      </c>
      <c r="AK25" s="355">
        <f>AB25+AE25+AH25</f>
        <v>2</v>
      </c>
      <c r="AL25" s="356">
        <f>AC25+AF25+AI25</f>
        <v>0</v>
      </c>
      <c r="AM25" s="357">
        <f>AD25+AG25+AJ25</f>
        <v>1</v>
      </c>
    </row>
    <row r="26" spans="1:39" ht="15" customHeight="1" x14ac:dyDescent="0.25">
      <c r="A26" s="1380" t="s">
        <v>468</v>
      </c>
      <c r="B26" s="1381"/>
      <c r="C26" s="321">
        <f>COUNTIFS('2DEMOGRAPHICS'!G13:G5000,"&gt;=13",'2DEMOGRAPHICS'!G13:G5000,"&lt;=17",'2DEMOGRAPHICS'!H13:H5000,"White",'2DEMOGRAPHICS'!K13:K5000,"Male")</f>
        <v>1</v>
      </c>
      <c r="D26" s="307">
        <f>COUNTIFS('2DEMOGRAPHICS'!G13:G5000,"&gt;=13",'2DEMOGRAPHICS'!G13:G5000,"&lt;=17",'2DEMOGRAPHICS'!H13:H5000,"White",'2DEMOGRAPHICS'!K13:K5000,"Female",'2DEMOGRAPHICS'!L13:L5000,"NO")</f>
        <v>0</v>
      </c>
      <c r="E26" s="359">
        <f>COUNTIFS('2DEMOGRAPHICS'!G13:G5000,"&gt;=13",'2DEMOGRAPHICS'!G13:G5000,"&lt;=17",'2DEMOGRAPHICS'!H13:H5000,"White",'2DEMOGRAPHICS'!K13:K5000,"Transgender")</f>
        <v>0</v>
      </c>
      <c r="F26" s="317">
        <f>COUNTIFS('2DEMOGRAPHICS'!G13:G5000,"&gt;=13",'2DEMOGRAPHICS'!G13:G5000,"&lt;=17",'2DEMOGRAPHICS'!H13:H5000,"African American /Black",'2DEMOGRAPHICS'!K13:K5000,"Male")</f>
        <v>0</v>
      </c>
      <c r="G26" s="307">
        <f>COUNTIFS('2DEMOGRAPHICS'!G13:G5000,"&gt;=13",'2DEMOGRAPHICS'!G13:G5000,"&lt;=17",'2DEMOGRAPHICS'!H13:H5000,"African American /Black",'2DEMOGRAPHICS'!K13:K5000,"Female",'2DEMOGRAPHICS'!L13:L5000,"NO")</f>
        <v>0</v>
      </c>
      <c r="H26" s="364">
        <f>COUNTIFS('2DEMOGRAPHICS'!G13:G5000,"&gt;=13",'2DEMOGRAPHICS'!G13:G5000,"&lt;=17",'2DEMOGRAPHICS'!H13:H5000,"African American /Black",'2DEMOGRAPHICS'!K13:K5000,"Transgender")</f>
        <v>0</v>
      </c>
      <c r="I26" s="317">
        <f>COUNTIFS('2DEMOGRAPHICS'!G13:G5000,"&gt;=13",'2DEMOGRAPHICS'!G13:G5000,"&lt;=17",'2DEMOGRAPHICS'!H13:H5000,"Native Hawaiian / Other Pacific Islander",'2DEMOGRAPHICS'!K13:K5000,"Male")</f>
        <v>0</v>
      </c>
      <c r="J26" s="307">
        <f>COUNTIFS('2DEMOGRAPHICS'!G13:G5000,"&gt;=13",'2DEMOGRAPHICS'!G13:G5000,"&lt;=17",'2DEMOGRAPHICS'!H13:H5000,"Native Hawaiian / Other Pacific Islander",'2DEMOGRAPHICS'!K13:K5000,"Female",'2DEMOGRAPHICS'!L13:L5000,"NO")</f>
        <v>0</v>
      </c>
      <c r="K26" s="364">
        <f>COUNTIFS('2DEMOGRAPHICS'!G13:G5000,"&gt;=13",'2DEMOGRAPHICS'!G13:G5000,"&lt;=17",'2DEMOGRAPHICS'!H13:H5000,"Native Hawaiian / Other Pacific Islander",'2DEMOGRAPHICS'!K13:K5000,"Transgender")</f>
        <v>1</v>
      </c>
      <c r="L26" s="317">
        <f>COUNTIFS('2DEMOGRAPHICS'!G13:G5000,"&gt;=13",'2DEMOGRAPHICS'!G13:G5000,"&lt;=17",'2DEMOGRAPHICS'!H13:H5000,"Asian",'2DEMOGRAPHICS'!K13:K5000,"Male")</f>
        <v>0</v>
      </c>
      <c r="M26" s="307">
        <f>COUNTIFS('2DEMOGRAPHICS'!G13:G5000,"&gt;=13",'2DEMOGRAPHICS'!G13:G5000,"&lt;=17",'2DEMOGRAPHICS'!H13:H5000,"Asian",'2DEMOGRAPHICS'!K13:K5000,"Female",'2DEMOGRAPHICS'!L13:L5000,"NO")</f>
        <v>0</v>
      </c>
      <c r="N26" s="364">
        <f>COUNTIFS('2DEMOGRAPHICS'!G13:G5000,"&gt;=13",'2DEMOGRAPHICS'!G13:G5000,"&lt;=17",'2DEMOGRAPHICS'!H13:H5000,"Asian",'2DEMOGRAPHICS'!K13:K5000,"Transgender")</f>
        <v>0</v>
      </c>
      <c r="O26" s="317">
        <f>COUNTIFS('2DEMOGRAPHICS'!G13:G5000,"&gt;=13",'2DEMOGRAPHICS'!G13:G5000,"&lt;=17",'2DEMOGRAPHICS'!H13:H5000,"American Indian / Alaska Native",'2DEMOGRAPHICS'!K13:K5000,"Male")</f>
        <v>0</v>
      </c>
      <c r="P26" s="307">
        <f>COUNTIFS('2DEMOGRAPHICS'!G13:G5000,"&gt;=13",'2DEMOGRAPHICS'!G13:G5000,"&lt;=17",'2DEMOGRAPHICS'!H13:H5000,"American Indian / Alaska Native",'2DEMOGRAPHICS'!K13:K5000,"Female",'2DEMOGRAPHICS'!L13:L5000,"NO")</f>
        <v>0</v>
      </c>
      <c r="Q26" s="364">
        <f>COUNTIFS('2DEMOGRAPHICS'!G13:G5000,"&gt;=13",'2DEMOGRAPHICS'!G13:G5000,"&lt;=17",'2DEMOGRAPHICS'!H13:H5000,"American Indian / Alaska Native",'2DEMOGRAPHICS'!K13:K5000,"Transgender")</f>
        <v>0</v>
      </c>
      <c r="R26" s="317">
        <f>COUNTIFS('2DEMOGRAPHICS'!G13:G5000,"&gt;=13",'2DEMOGRAPHICS'!G13:G5000,"&lt;=17",'2DEMOGRAPHICS'!H13:H5000,"More than one race reported",'2DEMOGRAPHICS'!K13:K5000,"Male")</f>
        <v>0</v>
      </c>
      <c r="S26" s="307">
        <f>COUNTIFS('2DEMOGRAPHICS'!G13:G5000,"&gt;=13",'2DEMOGRAPHICS'!G13:G5000,"&lt;=17",'2DEMOGRAPHICS'!H13:H5000,"More than one race reported",'2DEMOGRAPHICS'!K13:K5000,"Female",'2DEMOGRAPHICS'!L13:L5000,"NO")</f>
        <v>0</v>
      </c>
      <c r="T26" s="364">
        <f>COUNTIFS('2DEMOGRAPHICS'!G13:G5000,"&gt;=13",'2DEMOGRAPHICS'!G13:G5000,"&lt;=17",'2DEMOGRAPHICS'!H13:H5000,"More than one race reported",'2DEMOGRAPHICS'!K13:K5000,"Transgender")</f>
        <v>0</v>
      </c>
      <c r="U26" s="317">
        <f>COUNTIFS('2DEMOGRAPHICS'!G13:G5000,"&gt;=13",'2DEMOGRAPHICS'!G13:G5000,"&lt;=17",'2DEMOGRAPHICS'!H13:H5000,"Unknown",'2DEMOGRAPHICS'!K13:K5000,"Male")</f>
        <v>0</v>
      </c>
      <c r="V26" s="307">
        <f>COUNTIFS('2DEMOGRAPHICS'!G13:G5000,"&gt;=13",'2DEMOGRAPHICS'!G13:G5000,"&lt;=17",'2DEMOGRAPHICS'!H13:H5000,"Unknown",'2DEMOGRAPHICS'!K13:K5000,"Female",'2DEMOGRAPHICS'!L13:L5000,"NO")</f>
        <v>0</v>
      </c>
      <c r="W26" s="364">
        <f>COUNTIFS('2DEMOGRAPHICS'!G13:G5000,"&gt;=13",'2DEMOGRAPHICS'!G13:G5000,"&lt;=17",'2DEMOGRAPHICS'!H13:H5000,"Unknown",'2DEMOGRAPHICS'!K13:K5000,"Transgender")</f>
        <v>0</v>
      </c>
      <c r="X26" s="348">
        <f t="shared" si="0"/>
        <v>1</v>
      </c>
      <c r="Y26" s="349">
        <f>D26+G26+J26+M26+P26+S26+V26</f>
        <v>0</v>
      </c>
      <c r="Z26" s="362">
        <f t="shared" ref="Z26:Z35" si="1">E26+H26+K26+N26+Q26+T26+W26</f>
        <v>1</v>
      </c>
      <c r="AA26" s="310" t="s">
        <v>468</v>
      </c>
      <c r="AB26" s="309">
        <f>COUNTIFS('2DEMOGRAPHICS'!G13:G5000,"&gt;=13",'2DEMOGRAPHICS'!G13:G5000,"&lt;=17",'2DEMOGRAPHICS'!I13:I5000,"Not Hispanic or Latino",'2DEMOGRAPHICS'!K13:K5000,"Male")</f>
        <v>0</v>
      </c>
      <c r="AC26" s="300">
        <f>COUNTIFS('2DEMOGRAPHICS'!G13:G5000,"&gt;=13",'2DEMOGRAPHICS'!G13:G5000,"&lt;=17",'2DEMOGRAPHICS'!I13:I5000,"Not Hispanic or Latino",'2DEMOGRAPHICS'!K13:K5000,"Female",'2DEMOGRAPHICS'!L13:L5000,"NO")</f>
        <v>0</v>
      </c>
      <c r="AD26" s="366">
        <f>COUNTIFS('2DEMOGRAPHICS'!G13:G5000,"&gt;=13",'2DEMOGRAPHICS'!G13:G5000,"&lt;=17",'2DEMOGRAPHICS'!I13:I5000,"Not Hispanic or Latino",'2DEMOGRAPHICS'!K13:K5000,"Transgender")</f>
        <v>0</v>
      </c>
      <c r="AE26" s="319">
        <f>COUNTIFS('2DEMOGRAPHICS'!G13:G5000,"&gt;=13",'2DEMOGRAPHICS'!G13:G5000,"&lt;=17",'2DEMOGRAPHICS'!I13:I5000,"Hispanic-Latino ",'2DEMOGRAPHICS'!K13:K5000,"Male")</f>
        <v>1</v>
      </c>
      <c r="AF26" s="300">
        <f>COUNTIFS('2DEMOGRAPHICS'!G13:G5000,"&gt;=13",'2DEMOGRAPHICS'!G13:G5000,"&lt;=17",'2DEMOGRAPHICS'!I13:I5000,"Hispanic-Latino ",'2DEMOGRAPHICS'!K13:K5000,"Female",'2DEMOGRAPHICS'!L13:L5000,"NO")</f>
        <v>0</v>
      </c>
      <c r="AG26" s="366">
        <f>COUNTIFS('2DEMOGRAPHICS'!G13:G5000,"&gt;=13",'2DEMOGRAPHICS'!G13:G5000,"&lt;=17",'2DEMOGRAPHICS'!I13:I5000,"Hispanic-Latino ",'2DEMOGRAPHICS'!K13:K5000,"Transgender")</f>
        <v>2</v>
      </c>
      <c r="AH26" s="319">
        <f>COUNTIFS('2DEMOGRAPHICS'!G13:G5000,"&gt;=13",'2DEMOGRAPHICS'!G13:G5000,"&lt;=17",'2DEMOGRAPHICS'!I13:I5000,"Unknown",'2DEMOGRAPHICS'!K13:K5000,"Male")</f>
        <v>0</v>
      </c>
      <c r="AI26" s="300">
        <f>COUNTIFS('2DEMOGRAPHICS'!G13:G5000,"&gt;=13",'2DEMOGRAPHICS'!G13:G5000,"&lt;=17",'2DEMOGRAPHICS'!I13:I5000,"Unknown",'2DEMOGRAPHICS'!K13:K5000,"Female",'2DEMOGRAPHICS'!L13:L5000,"NO")</f>
        <v>0</v>
      </c>
      <c r="AJ26" s="326">
        <f>COUNTIFS('2DEMOGRAPHICS'!G13:G5000,"&gt;=13",'2DEMOGRAPHICS'!G13:G5000,"&lt;=17",'2DEMOGRAPHICS'!I13:I5000,"Unknown",'2DEMOGRAPHICS'!K13:K5000,"Transgender")</f>
        <v>0</v>
      </c>
      <c r="AK26" s="355">
        <f t="shared" ref="AK26:AK34" si="2">AB26+AE26+AH26</f>
        <v>1</v>
      </c>
      <c r="AL26" s="356">
        <f t="shared" ref="AL26:AL35" si="3">AC26+AF26+AI26</f>
        <v>0</v>
      </c>
      <c r="AM26" s="357">
        <f t="shared" ref="AM26:AM35" si="4">AD26+AG26+AJ26</f>
        <v>2</v>
      </c>
    </row>
    <row r="27" spans="1:39" ht="15" customHeight="1" x14ac:dyDescent="0.25">
      <c r="A27" s="1380" t="s">
        <v>469</v>
      </c>
      <c r="B27" s="1381"/>
      <c r="C27" s="321">
        <f>COUNTIFS('2DEMOGRAPHICS'!G13:G5000,"&gt;=18",'2DEMOGRAPHICS'!G13:G5000,"&lt;=20",'2DEMOGRAPHICS'!H13:H5000,"White",'2DEMOGRAPHICS'!K13:K5000,"Male")</f>
        <v>1</v>
      </c>
      <c r="D27" s="307">
        <f>COUNTIFS('2DEMOGRAPHICS'!G13:G5000,"&gt;=18",'2DEMOGRAPHICS'!G13:G5000,"&lt;=20",'2DEMOGRAPHICS'!H13:H5000,"White",'2DEMOGRAPHICS'!K13:K5000,"Female",'2DEMOGRAPHICS'!L13:L5000,"NO")</f>
        <v>0</v>
      </c>
      <c r="E27" s="359">
        <f>COUNTIFS('2DEMOGRAPHICS'!G13:G5000,"&gt;=18",'2DEMOGRAPHICS'!G13:G5000,"&lt;=20",'2DEMOGRAPHICS'!H13:H5000,"White",'2DEMOGRAPHICS'!K13:K5000,"Transgender")</f>
        <v>0</v>
      </c>
      <c r="F27" s="317">
        <f>COUNTIFS('2DEMOGRAPHICS'!G13:G5000,"&gt;=18",'2DEMOGRAPHICS'!G13:G5000,"&lt;=20",'2DEMOGRAPHICS'!H13:H5000,"African American /Black",'2DEMOGRAPHICS'!K13:K5000,"Male")</f>
        <v>0</v>
      </c>
      <c r="G27" s="307">
        <f>COUNTIFS('2DEMOGRAPHICS'!G13:G5000,"&gt;=18",'2DEMOGRAPHICS'!G13:G5000,"&lt;=20",'2DEMOGRAPHICS'!H13:H5000,"African American /Black",'2DEMOGRAPHICS'!K13:K5000,"Female",'2DEMOGRAPHICS'!L13:L5000,"NO")</f>
        <v>0</v>
      </c>
      <c r="H27" s="364">
        <f>COUNTIFS('2DEMOGRAPHICS'!G13:G5000,"&gt;=18",'2DEMOGRAPHICS'!G13:G5000,"&lt;=20",'2DEMOGRAPHICS'!H13:H5000,"African American /Black",'2DEMOGRAPHICS'!K13:K5000,"Transgender")</f>
        <v>0</v>
      </c>
      <c r="I27" s="317">
        <f>COUNTIFS('2DEMOGRAPHICS'!G13:G5000,"&gt;=18",'2DEMOGRAPHICS'!G13:G5000,"&lt;=20",'2DEMOGRAPHICS'!H13:H5000,"Native Hawaiian / Other Pacific Islander",'2DEMOGRAPHICS'!K13:K5000,"Male")</f>
        <v>0</v>
      </c>
      <c r="J27" s="307">
        <f>COUNTIFS('2DEMOGRAPHICS'!G13:G5000,"&gt;=18",'2DEMOGRAPHICS'!G13:G5000,"&lt;=20",'2DEMOGRAPHICS'!H13:H5000,"Native Hawaiian / Other Pacific Islander",'2DEMOGRAPHICS'!K13:K5000,"Female",'2DEMOGRAPHICS'!L13:L5000,"NO")</f>
        <v>0</v>
      </c>
      <c r="K27" s="364">
        <f>COUNTIFS('2DEMOGRAPHICS'!G13:G5000,"&gt;=18",'2DEMOGRAPHICS'!G13:G5000,"&lt;=20",'2DEMOGRAPHICS'!H13:H5000,"Native Hawaiian / Other Pacific Islander",'2DEMOGRAPHICS'!K13:K5000,"Transgender")</f>
        <v>1</v>
      </c>
      <c r="L27" s="317">
        <f>COUNTIFS('2DEMOGRAPHICS'!G13:G5000,"&gt;=18",'2DEMOGRAPHICS'!G13:G5000,"&lt;=20",'2DEMOGRAPHICS'!H13:H5000,"Asian",'2DEMOGRAPHICS'!K13:K5000,"Male")</f>
        <v>1</v>
      </c>
      <c r="M27" s="307">
        <f>COUNTIFS('2DEMOGRAPHICS'!G13:G5000,"&gt;=18",'2DEMOGRAPHICS'!G13:G5000,"&lt;=20",'2DEMOGRAPHICS'!H13:H5000,"Asian",'2DEMOGRAPHICS'!K13:K5000,"Female",'2DEMOGRAPHICS'!L13:L5000,"NO")</f>
        <v>0</v>
      </c>
      <c r="N27" s="364">
        <f>COUNTIFS('2DEMOGRAPHICS'!G13:G5000,"&gt;=18",'2DEMOGRAPHICS'!G13:G5000,"&lt;=20",'2DEMOGRAPHICS'!H13:H5000,"Asian",'2DEMOGRAPHICS'!K13:K5000,"Transgender")</f>
        <v>0</v>
      </c>
      <c r="O27" s="317">
        <f>COUNTIFS('2DEMOGRAPHICS'!G13:G5000,"&gt;=18",'2DEMOGRAPHICS'!G13:G5000,"&lt;=20",'2DEMOGRAPHICS'!H13:H5000,"American Indian / Alaska Native",'2DEMOGRAPHICS'!K13:K5000,"Male")</f>
        <v>0</v>
      </c>
      <c r="P27" s="307">
        <f>COUNTIFS('2DEMOGRAPHICS'!G13:G5000,"&gt;=18",'2DEMOGRAPHICS'!G13:G5000,"&lt;=20",'2DEMOGRAPHICS'!H13:H5000,"American Indian / Alaska Native",'2DEMOGRAPHICS'!K13:K5000,"Female",'2DEMOGRAPHICS'!L13:L5000,"NO")</f>
        <v>0</v>
      </c>
      <c r="Q27" s="364">
        <f>COUNTIFS('2DEMOGRAPHICS'!G13:G5000,"&gt;=18",'2DEMOGRAPHICS'!G13:G5000,"&lt;=20",'2DEMOGRAPHICS'!H13:H5000,"American Indian / Alaska Native",'2DEMOGRAPHICS'!K13:K5000,"Transgender")</f>
        <v>0</v>
      </c>
      <c r="R27" s="317">
        <f>COUNTIFS('2DEMOGRAPHICS'!G13:G5000,"&gt;=18",'2DEMOGRAPHICS'!G13:G5000,"&lt;=20",'2DEMOGRAPHICS'!H13:H5000,"More than one race reported",'2DEMOGRAPHICS'!K13:K5000,"Male")</f>
        <v>0</v>
      </c>
      <c r="S27" s="307">
        <f>COUNTIFS('2DEMOGRAPHICS'!G13:G5000,"&gt;=18",'2DEMOGRAPHICS'!G13:G5000,"&lt;=20",'2DEMOGRAPHICS'!H13:H5000,"More than one race reported",'2DEMOGRAPHICS'!K13:K5000,"Female",'2DEMOGRAPHICS'!L13:L5000,"NO")</f>
        <v>0</v>
      </c>
      <c r="T27" s="364">
        <f>COUNTIFS('2DEMOGRAPHICS'!G13:G5000,"&gt;=18",'2DEMOGRAPHICS'!G13:G5000,"&lt;=20",'2DEMOGRAPHICS'!H13:H5000,"More than one race reported",'2DEMOGRAPHICS'!K13:K5000,"Transgender")</f>
        <v>0</v>
      </c>
      <c r="U27" s="317">
        <f>COUNTIFS('2DEMOGRAPHICS'!G13:G5000,"&gt;=18",'2DEMOGRAPHICS'!G13:G5000,"&lt;=20",'2DEMOGRAPHICS'!H13:H5000,"Unknown",'2DEMOGRAPHICS'!K13:K5000,"Male")</f>
        <v>0</v>
      </c>
      <c r="V27" s="307">
        <f>COUNTIFS('2DEMOGRAPHICS'!G13:G5000,"&gt;=18",'2DEMOGRAPHICS'!G13:G5000,"&lt;=20",'2DEMOGRAPHICS'!H13:H5000,"Unknown",'2DEMOGRAPHICS'!K13:K5000,"Female",'2DEMOGRAPHICS'!L13:L5000,"NO")</f>
        <v>0</v>
      </c>
      <c r="W27" s="364">
        <f>COUNTIFS('2DEMOGRAPHICS'!G13:G5000,"&gt;=18",'2DEMOGRAPHICS'!G13:G5000,"&lt;=20",'2DEMOGRAPHICS'!H13:H5000,"Unknown",'2DEMOGRAPHICS'!K13:K5000,"Transgender")</f>
        <v>0</v>
      </c>
      <c r="X27" s="348">
        <f t="shared" si="0"/>
        <v>2</v>
      </c>
      <c r="Y27" s="349">
        <f t="shared" ref="Y27:Y35" si="5">D27+G27+J27+M27+P27+S27+V27</f>
        <v>0</v>
      </c>
      <c r="Z27" s="362">
        <f t="shared" si="1"/>
        <v>1</v>
      </c>
      <c r="AA27" s="310" t="s">
        <v>469</v>
      </c>
      <c r="AB27" s="309">
        <f>COUNTIFS('2DEMOGRAPHICS'!G13:G5000,"&gt;=18",'2DEMOGRAPHICS'!G13:G5000,"&lt;=20",'2DEMOGRAPHICS'!I13:I5000,"Not Hispanic or Latino",'2DEMOGRAPHICS'!K13:K5000,"Male")</f>
        <v>0</v>
      </c>
      <c r="AC27" s="300">
        <f>COUNTIFS('2DEMOGRAPHICS'!G13:G5000,"&gt;=18",'2DEMOGRAPHICS'!G13:G5000,"&lt;=20",'2DEMOGRAPHICS'!I13:I5000,"Not Hispanic or Latino",'2DEMOGRAPHICS'!K13:K5000,"Female",'2DEMOGRAPHICS'!L13:L5000,"NO")</f>
        <v>0</v>
      </c>
      <c r="AD27" s="366">
        <f>COUNTIFS('2DEMOGRAPHICS'!G13:G5000,"&gt;=18",'2DEMOGRAPHICS'!G13:G5000,"&lt;=20",'2DEMOGRAPHICS'!I13:I5000,"Not Hispanic or Latino",'2DEMOGRAPHICS'!K13:K5000,"Transgender")</f>
        <v>0</v>
      </c>
      <c r="AE27" s="319">
        <f>COUNTIFS('2DEMOGRAPHICS'!G13:G5000,"&gt;=18",'2DEMOGRAPHICS'!G13:G5000,"&lt;=20",'2DEMOGRAPHICS'!I13:I5000,"Hispanic-Latino ",'2DEMOGRAPHICS'!K13:K5000,"Male")</f>
        <v>0</v>
      </c>
      <c r="AF27" s="300">
        <f>COUNTIFS('2DEMOGRAPHICS'!G13:G5000,"&gt;=18",'2DEMOGRAPHICS'!G13:G5000,"&lt;=20",'2DEMOGRAPHICS'!I13:I5000,"Hispanic-Latino ",'2DEMOGRAPHICS'!K13:K5000,"Female",'2DEMOGRAPHICS'!L13:L5000,"NO")</f>
        <v>0</v>
      </c>
      <c r="AG27" s="366">
        <f>COUNTIFS('2DEMOGRAPHICS'!G13:G5000,"&gt;=18",'2DEMOGRAPHICS'!G13:G5000,"&lt;=20",'2DEMOGRAPHICS'!I13:I5000,"Hispanic-Latino ",'2DEMOGRAPHICS'!K13:K5000,"Transgender")</f>
        <v>0</v>
      </c>
      <c r="AH27" s="319">
        <f>COUNTIFS('2DEMOGRAPHICS'!G13:G5000,"&gt;=18",'2DEMOGRAPHICS'!G13:G5000,"&lt;=20",'2DEMOGRAPHICS'!I13:I5000,"Unknown",'2DEMOGRAPHICS'!K13:K5000,"Male")</f>
        <v>2</v>
      </c>
      <c r="AI27" s="300">
        <f>COUNTIFS('2DEMOGRAPHICS'!G13:G5000,"&gt;=18",'2DEMOGRAPHICS'!G13:G5000,"&lt;=20",'2DEMOGRAPHICS'!I13:I5000,"Unknown",'2DEMOGRAPHICS'!K13:K5000,"Female",'2DEMOGRAPHICS'!L13:L5000,"NO")</f>
        <v>0</v>
      </c>
      <c r="AJ27" s="326">
        <f>COUNTIFS('2DEMOGRAPHICS'!G13:G5000,"&gt;=18",'2DEMOGRAPHICS'!G13:G5000,"&lt;=20",'2DEMOGRAPHICS'!I13:I5000,"Unknown",'2DEMOGRAPHICS'!K13:K5000,"Transgender")</f>
        <v>2</v>
      </c>
      <c r="AK27" s="355">
        <f t="shared" si="2"/>
        <v>2</v>
      </c>
      <c r="AL27" s="356">
        <f t="shared" si="3"/>
        <v>0</v>
      </c>
      <c r="AM27" s="357">
        <f t="shared" si="4"/>
        <v>2</v>
      </c>
    </row>
    <row r="28" spans="1:39" ht="15" customHeight="1" x14ac:dyDescent="0.25">
      <c r="A28" s="1380" t="s">
        <v>470</v>
      </c>
      <c r="B28" s="1381"/>
      <c r="C28" s="321">
        <f>COUNTIFS('2DEMOGRAPHICS'!G13:G5000,"&gt;=21",'2DEMOGRAPHICS'!G13:G5000,"&lt;=24",'2DEMOGRAPHICS'!H13:H5000,"White",'2DEMOGRAPHICS'!K13:K5000,"Male")</f>
        <v>0</v>
      </c>
      <c r="D28" s="307">
        <f>COUNTIFS('2DEMOGRAPHICS'!G13:G5000,"&gt;=21",'2DEMOGRAPHICS'!G13:G5000,"&lt;=24",'2DEMOGRAPHICS'!H13:H5000,"White",'2DEMOGRAPHICS'!K13:K5000,"Female",'2DEMOGRAPHICS'!L13:L5000,"NO")</f>
        <v>0</v>
      </c>
      <c r="E28" s="359">
        <f>COUNTIFS('2DEMOGRAPHICS'!G13:G5000,"&gt;=21",'2DEMOGRAPHICS'!G13:G5000,"&lt;=24",'2DEMOGRAPHICS'!H13:H5000,"White",'2DEMOGRAPHICS'!K13:K5000,"Transgender")</f>
        <v>0</v>
      </c>
      <c r="F28" s="317">
        <f>COUNTIFS('2DEMOGRAPHICS'!G13:G5000,"&gt;=21",'2DEMOGRAPHICS'!G13:G5000,"&lt;=24",'2DEMOGRAPHICS'!H13:H5000,"African American /Black",'2DEMOGRAPHICS'!K13:K5000,"Male")</f>
        <v>0</v>
      </c>
      <c r="G28" s="307">
        <f>COUNTIFS('2DEMOGRAPHICS'!G13:G5000,"&gt;=21",'2DEMOGRAPHICS'!G13:G5000,"&lt;=24",'2DEMOGRAPHICS'!H13:H5000,"African American /Black",'2DEMOGRAPHICS'!K13:K5000,"Female",'2DEMOGRAPHICS'!L13:L5000,"NO")</f>
        <v>0</v>
      </c>
      <c r="H28" s="364">
        <f>COUNTIFS('2DEMOGRAPHICS'!G13:G5000,"&gt;=21",'2DEMOGRAPHICS'!G13:G5000,"&lt;=24",'2DEMOGRAPHICS'!H13:H5000,"African American /Black",'2DEMOGRAPHICS'!K13:K5000,"Transgender")</f>
        <v>0</v>
      </c>
      <c r="I28" s="317">
        <f>COUNTIFS('2DEMOGRAPHICS'!G13:G5000,"&gt;=21",'2DEMOGRAPHICS'!G13:G5000,"&lt;=24",'2DEMOGRAPHICS'!H13:H5000,"Native Hawaiian / Other Pacific Islander",'2DEMOGRAPHICS'!K13:K5000,"Male")</f>
        <v>0</v>
      </c>
      <c r="J28" s="307">
        <f>COUNTIFS('2DEMOGRAPHICS'!G13:G5000,"&gt;=21",'2DEMOGRAPHICS'!G13:G5000,"&lt;=24",'2DEMOGRAPHICS'!H13:H5000,"Native Hawaiian / Other Pacific Islander",'2DEMOGRAPHICS'!K13:K5000,"Female",'2DEMOGRAPHICS'!L13:L5000,"NO")</f>
        <v>0</v>
      </c>
      <c r="K28" s="364">
        <f>COUNTIFS('2DEMOGRAPHICS'!G13:G5000,"&gt;=21",'2DEMOGRAPHICS'!G13:G5000,"&lt;=24",'2DEMOGRAPHICS'!H13:H5000,"Native Hawaiian / Other Pacific Islander",'2DEMOGRAPHICS'!K13:K5000,"Transgender")</f>
        <v>0</v>
      </c>
      <c r="L28" s="317">
        <f>COUNTIFS('2DEMOGRAPHICS'!G13:G5000,"&gt;=21",'2DEMOGRAPHICS'!G13:G5000,"&lt;=24",'2DEMOGRAPHICS'!H13:H5000,"Asian",'2DEMOGRAPHICS'!K13:K5000,"Male")</f>
        <v>1</v>
      </c>
      <c r="M28" s="307">
        <f>COUNTIFS('2DEMOGRAPHICS'!G13:G5000,"&gt;=21",'2DEMOGRAPHICS'!G13:G5000,"&lt;=24",'2DEMOGRAPHICS'!H13:H5000,"Asian",'2DEMOGRAPHICS'!K13:K5000,"Female",'2DEMOGRAPHICS'!L13:L5000,"NO")</f>
        <v>0</v>
      </c>
      <c r="N28" s="364">
        <f>COUNTIFS('2DEMOGRAPHICS'!G13:G5000,"&gt;=21",'2DEMOGRAPHICS'!G13:G5000,"&lt;=24",'2DEMOGRAPHICS'!H13:H5000,"Asian",'2DEMOGRAPHICS'!K13:K5000,"Transgender")</f>
        <v>0</v>
      </c>
      <c r="O28" s="317">
        <f>COUNTIFS('2DEMOGRAPHICS'!G13:G5000,"&gt;=21",'2DEMOGRAPHICS'!G13:G5000,"&lt;=24",'2DEMOGRAPHICS'!H13:H5000,"American Indian / Alaska Native",'2DEMOGRAPHICS'!K13:K5000,"Male")</f>
        <v>0</v>
      </c>
      <c r="P28" s="307">
        <f>COUNTIFS('2DEMOGRAPHICS'!G13:G5000,"&gt;=21",'2DEMOGRAPHICS'!G13:G5000,"&lt;=24",'2DEMOGRAPHICS'!H13:H5000,"American Indian / Alaska Native",'2DEMOGRAPHICS'!K13:K5000,"Female",'2DEMOGRAPHICS'!L13:L5000,"NO")</f>
        <v>0</v>
      </c>
      <c r="Q28" s="364">
        <f>COUNTIFS('2DEMOGRAPHICS'!G13:G5000,"&gt;=21",'2DEMOGRAPHICS'!G13:G5000,"&lt;=24",'2DEMOGRAPHICS'!H13:H5000,"American Indian / Alaska Native",'2DEMOGRAPHICS'!K13:K5000,"Transgender")</f>
        <v>0</v>
      </c>
      <c r="R28" s="317">
        <f>COUNTIFS('2DEMOGRAPHICS'!G13:G5000,"&gt;=21",'2DEMOGRAPHICS'!G13:G5000,"&lt;=24",'2DEMOGRAPHICS'!H13:H5000,"More than one race reported",'2DEMOGRAPHICS'!K13:K5000,"Male")</f>
        <v>0</v>
      </c>
      <c r="S28" s="307">
        <f>COUNTIFS('2DEMOGRAPHICS'!G13:G5000,"&gt;=21",'2DEMOGRAPHICS'!G13:G5000,"&lt;=24",'2DEMOGRAPHICS'!H13:H5000,"More than one race reported",'2DEMOGRAPHICS'!K13:K5000,"Female",'2DEMOGRAPHICS'!L13:L5000,"NO")</f>
        <v>0</v>
      </c>
      <c r="T28" s="364">
        <f>COUNTIFS('2DEMOGRAPHICS'!G13:G5000,"&gt;=21",'2DEMOGRAPHICS'!G13:G5000,"&lt;=24",'2DEMOGRAPHICS'!H13:H5000,"More than one race reported",'2DEMOGRAPHICS'!K13:K5000,"Transgender")</f>
        <v>0</v>
      </c>
      <c r="U28" s="317">
        <f>COUNTIFS('2DEMOGRAPHICS'!G13:G5000,"&gt;=21",'2DEMOGRAPHICS'!G13:G5000,"&lt;=24",'2DEMOGRAPHICS'!H13:H5000,"Unknown",'2DEMOGRAPHICS'!K13:K5000,"Male")</f>
        <v>0</v>
      </c>
      <c r="V28" s="307">
        <f>COUNTIFS('2DEMOGRAPHICS'!G13:G5000,"&gt;=21",'2DEMOGRAPHICS'!G13:G5000,"&lt;=24",'2DEMOGRAPHICS'!H13:H5000,"Unknown",'2DEMOGRAPHICS'!K13:K5000,"Female",'2DEMOGRAPHICS'!L13:L5000,"NO")</f>
        <v>0</v>
      </c>
      <c r="W28" s="364">
        <f>COUNTIFS('2DEMOGRAPHICS'!G13:G5000,"&gt;=21",'2DEMOGRAPHICS'!G13:G5000,"&lt;=24",'2DEMOGRAPHICS'!H13:H5000,"Unknown",'2DEMOGRAPHICS'!K13:K5000,"Transgender")</f>
        <v>0</v>
      </c>
      <c r="X28" s="348">
        <f t="shared" si="0"/>
        <v>1</v>
      </c>
      <c r="Y28" s="349">
        <f t="shared" si="5"/>
        <v>0</v>
      </c>
      <c r="Z28" s="362">
        <f t="shared" si="1"/>
        <v>0</v>
      </c>
      <c r="AA28" s="310" t="s">
        <v>470</v>
      </c>
      <c r="AB28" s="309">
        <f>COUNTIFS('2DEMOGRAPHICS'!G13:G5000,"&gt;=21",'2DEMOGRAPHICS'!G13:G5000,"&lt;=24",'2DEMOGRAPHICS'!I13:I5000,"Not Hispanic or Latino",'2DEMOGRAPHICS'!K13:K5000,"Male")</f>
        <v>2</v>
      </c>
      <c r="AC28" s="300">
        <f>COUNTIFS('2DEMOGRAPHICS'!G13:G5000,"&gt;=21",'2DEMOGRAPHICS'!G13:G5000,"&lt;=24",'2DEMOGRAPHICS'!I13:I5000,"Not Hispanic or Latino",'2DEMOGRAPHICS'!K13:K5000,"Female",'2DEMOGRAPHICS'!L13:L5000,"NO")</f>
        <v>1</v>
      </c>
      <c r="AD28" s="366">
        <f>COUNTIFS('2DEMOGRAPHICS'!G13:G5000,"&gt;=21",'2DEMOGRAPHICS'!G13:G5000,"&lt;=24",'2DEMOGRAPHICS'!I13:I5000,"Not Hispanic or Latino",'2DEMOGRAPHICS'!K13:K5000,"Transgender")</f>
        <v>1</v>
      </c>
      <c r="AE28" s="319">
        <f>COUNTIFS('2DEMOGRAPHICS'!G13:G5000,"&gt;=21",'2DEMOGRAPHICS'!G13:G5000,"&lt;=24",'2DEMOGRAPHICS'!I13:I5000,"Hispanic-Latino ",'2DEMOGRAPHICS'!K13:K5000,"Male")</f>
        <v>0</v>
      </c>
      <c r="AF28" s="300">
        <f>COUNTIFS('2DEMOGRAPHICS'!G13:G5000,"&gt;=21",'2DEMOGRAPHICS'!G13:G5000,"&lt;=24",'2DEMOGRAPHICS'!I13:I5000,"Hispanic-Latino ",'2DEMOGRAPHICS'!K13:K5000,"Female",'2DEMOGRAPHICS'!L13:L5000,"NO")</f>
        <v>0</v>
      </c>
      <c r="AG28" s="366">
        <f>COUNTIFS('2DEMOGRAPHICS'!G13:G5000,"&gt;=21",'2DEMOGRAPHICS'!G13:G5000,"&lt;=24",'2DEMOGRAPHICS'!I13:I5000,"Hispanic-Latino ",'2DEMOGRAPHICS'!K13:K5000,"Transgender")</f>
        <v>0</v>
      </c>
      <c r="AH28" s="319">
        <f>COUNTIFS('2DEMOGRAPHICS'!G13:G5000,"&gt;=21",'2DEMOGRAPHICS'!G13:G5000,"&lt;=24",'2DEMOGRAPHICS'!I13:I5000,"Unknown",'2DEMOGRAPHICS'!K13:K5000,"Male")</f>
        <v>0</v>
      </c>
      <c r="AI28" s="300">
        <f>COUNTIFS('2DEMOGRAPHICS'!G13:G5000,"&gt;=21",'2DEMOGRAPHICS'!G13:G5000,"&lt;=24",'2DEMOGRAPHICS'!I13:I5000,"Unknown",'2DEMOGRAPHICS'!K13:K5000,"Female",'2DEMOGRAPHICS'!L13:L5000,"NO")</f>
        <v>0</v>
      </c>
      <c r="AJ28" s="326">
        <f>COUNTIFS('2DEMOGRAPHICS'!G13:G5000,"&gt;=21",'2DEMOGRAPHICS'!G13:G5000,"&lt;=24",'2DEMOGRAPHICS'!I13:I5000,"Unknown",'2DEMOGRAPHICS'!K13:K5000,"Transgender")</f>
        <v>0</v>
      </c>
      <c r="AK28" s="355">
        <f t="shared" si="2"/>
        <v>2</v>
      </c>
      <c r="AL28" s="356">
        <f t="shared" si="3"/>
        <v>1</v>
      </c>
      <c r="AM28" s="357">
        <f t="shared" si="4"/>
        <v>1</v>
      </c>
    </row>
    <row r="29" spans="1:39" ht="15" customHeight="1" x14ac:dyDescent="0.25">
      <c r="A29" s="1380" t="s">
        <v>476</v>
      </c>
      <c r="B29" s="1381"/>
      <c r="C29" s="321">
        <f>COUNTIFS('2DEMOGRAPHICS'!G13:G5000,"&gt;=25",'2DEMOGRAPHICS'!G13:G5000,"&lt;=34",'2DEMOGRAPHICS'!H13:H5000,"White",'2DEMOGRAPHICS'!K13:K5000,"Male")</f>
        <v>0</v>
      </c>
      <c r="D29" s="307">
        <f>COUNTIFS('2DEMOGRAPHICS'!G13:G5000,"&gt;=25",'2DEMOGRAPHICS'!G13:G5000,"&lt;=34",'2DEMOGRAPHICS'!H13:H5000,"White",'2DEMOGRAPHICS'!K13:K5000,"Female",'2DEMOGRAPHICS'!L13:L5000,"NO")</f>
        <v>0</v>
      </c>
      <c r="E29" s="359">
        <f>COUNTIFS('2DEMOGRAPHICS'!G13:G5000,"&gt;=25",'2DEMOGRAPHICS'!G13:G5000,"&lt;=34",'2DEMOGRAPHICS'!H13:H5000,"White",'2DEMOGRAPHICS'!K13:K5000,"Transgender")</f>
        <v>1</v>
      </c>
      <c r="F29" s="317">
        <f>COUNTIFS('2DEMOGRAPHICS'!G13:G5000,"&gt;=25",'2DEMOGRAPHICS'!G13:G5000,"&lt;=34",'2DEMOGRAPHICS'!H13:H5000,"African American /Black",'2DEMOGRAPHICS'!K13:K5000,"Male")</f>
        <v>0</v>
      </c>
      <c r="G29" s="307">
        <f>COUNTIFS('2DEMOGRAPHICS'!G13:G5000,"&gt;=25",'2DEMOGRAPHICS'!G13:G5000,"&lt;=34",'2DEMOGRAPHICS'!H13:H5000,"African American /Black",'2DEMOGRAPHICS'!K13:K5000,"Female",'2DEMOGRAPHICS'!L13:L5000,"NO")</f>
        <v>0</v>
      </c>
      <c r="H29" s="364">
        <f>COUNTIFS('2DEMOGRAPHICS'!G13:G5000,"&gt;=25",'2DEMOGRAPHICS'!G13:G5000,"&lt;=34",'2DEMOGRAPHICS'!H13:H5000,"African American /Black",'2DEMOGRAPHICS'!K13:K5000,"Transgender")</f>
        <v>0</v>
      </c>
      <c r="I29" s="317">
        <f>COUNTIFS('2DEMOGRAPHICS'!G13:G5000,"&gt;=25",'2DEMOGRAPHICS'!G13:G5000,"&lt;=34",'2DEMOGRAPHICS'!H13:H5000,"Native Hawaiian / Other Pacific Islander",'2DEMOGRAPHICS'!K13:K5000,"Male")</f>
        <v>0</v>
      </c>
      <c r="J29" s="307">
        <f>COUNTIFS('2DEMOGRAPHICS'!G13:G5000,"&gt;=25",'2DEMOGRAPHICS'!G13:G5000,"&lt;=34",'2DEMOGRAPHICS'!H13:H5000,"Native Hawaiian / Other Pacific Islander",'2DEMOGRAPHICS'!K13:K5000,"Female",'2DEMOGRAPHICS'!L13:L5000,"NO")</f>
        <v>0</v>
      </c>
      <c r="K29" s="364">
        <f>COUNTIFS('2DEMOGRAPHICS'!G13:G5000,"&gt;=25",'2DEMOGRAPHICS'!G13:G5000,"&lt;=34",'2DEMOGRAPHICS'!H13:H5000,"Native Hawaiian / Other Pacific Islander",'2DEMOGRAPHICS'!K13:K5000,"Transgender")</f>
        <v>0</v>
      </c>
      <c r="L29" s="317">
        <f>COUNTIFS('2DEMOGRAPHICS'!G13:G5000,"&gt;=25",'2DEMOGRAPHICS'!G13:G5000,"&lt;=34",'2DEMOGRAPHICS'!H13:H5000,"Asian",'2DEMOGRAPHICS'!K13:K5000,"Male")</f>
        <v>0</v>
      </c>
      <c r="M29" s="307">
        <f>COUNTIFS('2DEMOGRAPHICS'!G13:G5000,"&gt;=25",'2DEMOGRAPHICS'!G13:G5000,"&lt;=34",'2DEMOGRAPHICS'!H13:H5000,"Asian",'2DEMOGRAPHICS'!K13:K5000,"Female",'2DEMOGRAPHICS'!L13:L5000,"NO")</f>
        <v>0</v>
      </c>
      <c r="N29" s="364">
        <f>COUNTIFS('2DEMOGRAPHICS'!G13:G5000,"&gt;=25",'2DEMOGRAPHICS'!G13:G5000,"&lt;=34",'2DEMOGRAPHICS'!H13:H5000,"Asian",'2DEMOGRAPHICS'!K13:K5000,"Transgender")</f>
        <v>0</v>
      </c>
      <c r="O29" s="317">
        <f>COUNTIFS('2DEMOGRAPHICS'!G13:G5000,"&gt;=25",'2DEMOGRAPHICS'!G13:G5000,"&lt;=34",'2DEMOGRAPHICS'!H13:H5000,"American Indian / Alaska Native",'2DEMOGRAPHICS'!K13:K5000,"Male")</f>
        <v>0</v>
      </c>
      <c r="P29" s="307">
        <f>COUNTIFS('2DEMOGRAPHICS'!G13:G5000,"&gt;=25",'2DEMOGRAPHICS'!G13:G5000,"&lt;=34",'2DEMOGRAPHICS'!H13:H5000,"American Indian / Alaska Native",'2DEMOGRAPHICS'!K13:K5000,"Female",'2DEMOGRAPHICS'!L13:L5000,"NO")</f>
        <v>0</v>
      </c>
      <c r="Q29" s="364">
        <f>COUNTIFS('2DEMOGRAPHICS'!G13:G5000,"&gt;=25",'2DEMOGRAPHICS'!G13:G5000,"&lt;=34",'2DEMOGRAPHICS'!H13:H5000,"American Indian / Alaska Native",'2DEMOGRAPHICS'!K13:K5000,"Transgender")</f>
        <v>0</v>
      </c>
      <c r="R29" s="317">
        <f>COUNTIFS('2DEMOGRAPHICS'!G13:G5000,"&gt;=25",'2DEMOGRAPHICS'!G13:G5000,"&lt;=34",'2DEMOGRAPHICS'!H13:H5000,"More than one race reported",'2DEMOGRAPHICS'!K13:K5000,"Male")</f>
        <v>0</v>
      </c>
      <c r="S29" s="307">
        <f>COUNTIFS('2DEMOGRAPHICS'!G13:G5000,"&gt;=25",'2DEMOGRAPHICS'!G13:G5000,"&lt;=34",'2DEMOGRAPHICS'!H13:H5000,"More than one race reported",'2DEMOGRAPHICS'!K13:K5000,"Female",'2DEMOGRAPHICS'!L13:L5000,"NO")</f>
        <v>0</v>
      </c>
      <c r="T29" s="364">
        <f>COUNTIFS('2DEMOGRAPHICS'!G13:G5000,"&gt;=25",'2DEMOGRAPHICS'!G13:G5000,"&lt;=34",'2DEMOGRAPHICS'!H13:H5000,"More than one race reported",'2DEMOGRAPHICS'!K13:K5000,"Transgender")</f>
        <v>0</v>
      </c>
      <c r="U29" s="317">
        <f>COUNTIFS('2DEMOGRAPHICS'!G13:G5000,"&gt;=25",'2DEMOGRAPHICS'!G13:G5000,"&lt;=34",'2DEMOGRAPHICS'!H13:H5000,"Unknown",'2DEMOGRAPHICS'!K13:K5000,"Male")</f>
        <v>0</v>
      </c>
      <c r="V29" s="307">
        <f>COUNTIFS('2DEMOGRAPHICS'!G13:G5000,"&gt;=25",'2DEMOGRAPHICS'!G13:G5000,"&lt;=34",'2DEMOGRAPHICS'!H13:H5000,"Unknown",'2DEMOGRAPHICS'!K13:K5000,"Female",'2DEMOGRAPHICS'!L13:L5000,"NO")</f>
        <v>0</v>
      </c>
      <c r="W29" s="364">
        <f>COUNTIFS('2DEMOGRAPHICS'!G13:G5000,"&gt;=25",'2DEMOGRAPHICS'!G13:G5000,"&lt;=34",'2DEMOGRAPHICS'!H13:H5000,"Unknown",'2DEMOGRAPHICS'!K13:K5000,"Transgender")</f>
        <v>0</v>
      </c>
      <c r="X29" s="348">
        <f t="shared" si="0"/>
        <v>0</v>
      </c>
      <c r="Y29" s="349">
        <f t="shared" si="5"/>
        <v>0</v>
      </c>
      <c r="Z29" s="362">
        <f t="shared" si="1"/>
        <v>1</v>
      </c>
      <c r="AA29" s="310" t="s">
        <v>476</v>
      </c>
      <c r="AB29" s="309">
        <f>COUNTIFS('2DEMOGRAPHICS'!G13:G5000,"&gt;=25",'2DEMOGRAPHICS'!G13:G5000,"&lt;=34",'2DEMOGRAPHICS'!I13:I5000,"Not Hispanic or Latino",'2DEMOGRAPHICS'!K13:K5000,"Male")</f>
        <v>0</v>
      </c>
      <c r="AC29" s="300">
        <f>COUNTIFS('2DEMOGRAPHICS'!G13:G5000,"&gt;=25",'2DEMOGRAPHICS'!G13:G5000,"&lt;=34",'2DEMOGRAPHICS'!I13:I5000,"Not Hispanic or Latino",'2DEMOGRAPHICS'!K13:K5000,"Female",'2DEMOGRAPHICS'!L13:L5000,"NO")</f>
        <v>0</v>
      </c>
      <c r="AD29" s="366">
        <f>COUNTIFS('2DEMOGRAPHICS'!G13:G5000,"&gt;=25",'2DEMOGRAPHICS'!G13:G5000,"&lt;=34",'2DEMOGRAPHICS'!I13:I5000,"Not Hispanic or Latino",'2DEMOGRAPHICS'!K13:K5000,"Transgender")</f>
        <v>0</v>
      </c>
      <c r="AE29" s="319">
        <f>COUNTIFS('2DEMOGRAPHICS'!G13:G5000,"&gt;=25",'2DEMOGRAPHICS'!G13:G5000,"&lt;=34",'2DEMOGRAPHICS'!I13:I5000,"Hispanic-Latino ",'2DEMOGRAPHICS'!K13:K5000,"Male")</f>
        <v>1</v>
      </c>
      <c r="AF29" s="300">
        <f>COUNTIFS('2DEMOGRAPHICS'!G13:G5000,"&gt;=25",'2DEMOGRAPHICS'!G13:G5000,"&lt;=34",'2DEMOGRAPHICS'!I13:I5000,"Hispanic-Latino ",'2DEMOGRAPHICS'!K13:K5000,"Female",'2DEMOGRAPHICS'!L13:L5000,"NO")</f>
        <v>0</v>
      </c>
      <c r="AG29" s="366">
        <f>COUNTIFS('2DEMOGRAPHICS'!G13:G5000,"&gt;=25",'2DEMOGRAPHICS'!G13:G5000,"&lt;=34",'2DEMOGRAPHICS'!I13:I5000,"Hispanic-Latino ",'2DEMOGRAPHICS'!K13:K5000,"Transgender")</f>
        <v>2</v>
      </c>
      <c r="AH29" s="319">
        <f>COUNTIFS('2DEMOGRAPHICS'!G13:G5000,"&gt;=25",'2DEMOGRAPHICS'!G13:G5000,"&lt;=34",'2DEMOGRAPHICS'!I13:I5000,"Unknown",'2DEMOGRAPHICS'!K13:K5000,"Male")</f>
        <v>0</v>
      </c>
      <c r="AI29" s="300">
        <f>COUNTIFS('2DEMOGRAPHICS'!G13:G5000,"&gt;=25",'2DEMOGRAPHICS'!G13:G5000,"&lt;=34",'2DEMOGRAPHICS'!I13:I5000,"Unknown",'2DEMOGRAPHICS'!K13:K5000,"Female",'2DEMOGRAPHICS'!L13:L5000,"NO")</f>
        <v>0</v>
      </c>
      <c r="AJ29" s="326">
        <f>COUNTIFS('2DEMOGRAPHICS'!G13:G5000,"&gt;=25",'2DEMOGRAPHICS'!G13:G5000,"&lt;=34",'2DEMOGRAPHICS'!I13:I5000,"Unknown",'2DEMOGRAPHICS'!K13:K5000,"Transgender")</f>
        <v>0</v>
      </c>
      <c r="AK29" s="355">
        <f t="shared" si="2"/>
        <v>1</v>
      </c>
      <c r="AL29" s="356">
        <f t="shared" si="3"/>
        <v>0</v>
      </c>
      <c r="AM29" s="357">
        <f t="shared" si="4"/>
        <v>2</v>
      </c>
    </row>
    <row r="30" spans="1:39" ht="15" customHeight="1" x14ac:dyDescent="0.25">
      <c r="A30" s="1380" t="s">
        <v>477</v>
      </c>
      <c r="B30" s="1381"/>
      <c r="C30" s="321">
        <f>COUNTIFS('2DEMOGRAPHICS'!G13:G5000,"&gt;=35",'2DEMOGRAPHICS'!G13:G5000,"&lt;=44",'2DEMOGRAPHICS'!H13:H5000,"White",'2DEMOGRAPHICS'!K13:K5000,"Male")</f>
        <v>0</v>
      </c>
      <c r="D30" s="307">
        <f>COUNTIFS('2DEMOGRAPHICS'!G13:G5000,"&gt;=35",'2DEMOGRAPHICS'!G13:G5000,"&lt;=44",'2DEMOGRAPHICS'!H13:H5000,"White",'2DEMOGRAPHICS'!K13:K5000,"Female",'2DEMOGRAPHICS'!L13:L5000,"NO")</f>
        <v>0</v>
      </c>
      <c r="E30" s="359">
        <f>COUNTIFS('2DEMOGRAPHICS'!G13:G5000,"&gt;=35",'2DEMOGRAPHICS'!G13:G5000,"&lt;=44",'2DEMOGRAPHICS'!H13:H5000,"White",'2DEMOGRAPHICS'!K13:K5000,"Transgender")</f>
        <v>1</v>
      </c>
      <c r="F30" s="317">
        <f>COUNTIFS('2DEMOGRAPHICS'!G13:G5000,"&gt;=35",'2DEMOGRAPHICS'!G13:G5000,"&lt;=44",'2DEMOGRAPHICS'!H13:H5000,"African American /Black",'2DEMOGRAPHICS'!K13:K5000,"Male")</f>
        <v>0</v>
      </c>
      <c r="G30" s="307">
        <f>COUNTIFS('2DEMOGRAPHICS'!G13:G5000,"&gt;=35",'2DEMOGRAPHICS'!G13:G5000,"&lt;=44",'2DEMOGRAPHICS'!H13:H5000,"African American /Black",'2DEMOGRAPHICS'!K13:K5000,"Female",'2DEMOGRAPHICS'!L13:L5000,"NO")</f>
        <v>0</v>
      </c>
      <c r="H30" s="364">
        <f>COUNTIFS('2DEMOGRAPHICS'!G13:G5000,"&gt;=35",'2DEMOGRAPHICS'!G13:G5000,"&lt;=44",'2DEMOGRAPHICS'!H13:H5000,"African American /Black",'2DEMOGRAPHICS'!K13:K5000,"Transgender")</f>
        <v>0</v>
      </c>
      <c r="I30" s="317">
        <f>COUNTIFS('2DEMOGRAPHICS'!G13:G5000,"&gt;=35",'2DEMOGRAPHICS'!G13:G5000,"&lt;=44",'2DEMOGRAPHICS'!H13:H5000,"Native Hawaiian / Other Pacific Islander",'2DEMOGRAPHICS'!K13:K5000,"Male")</f>
        <v>0</v>
      </c>
      <c r="J30" s="307">
        <f>COUNTIFS('2DEMOGRAPHICS'!G13:G5000,"&gt;=35",'2DEMOGRAPHICS'!G13:G5000,"&lt;=44",'2DEMOGRAPHICS'!H13:H5000,"Native Hawaiian / Other Pacific Islander",'2DEMOGRAPHICS'!K13:K5000,"Female",'2DEMOGRAPHICS'!L13:L5000,"NO")</f>
        <v>0</v>
      </c>
      <c r="K30" s="364">
        <f>COUNTIFS('2DEMOGRAPHICS'!G13:G5000,"&gt;=35",'2DEMOGRAPHICS'!G13:G5000,"&lt;=44",'2DEMOGRAPHICS'!H13:H5000,"Native Hawaiian / Other Pacific Islander",'2DEMOGRAPHICS'!K13:K5000,"Transgender")</f>
        <v>0</v>
      </c>
      <c r="L30" s="317">
        <f>COUNTIFS('2DEMOGRAPHICS'!G13:G5000,"&gt;=35",'2DEMOGRAPHICS'!G13:G5000,"&lt;=44",'2DEMOGRAPHICS'!H13:H5000,"Asian",'2DEMOGRAPHICS'!K13:K5000,"Male")</f>
        <v>0</v>
      </c>
      <c r="M30" s="307">
        <f>COUNTIFS('2DEMOGRAPHICS'!G13:G5000,"&gt;=35",'2DEMOGRAPHICS'!G13:G5000,"&lt;=44",'2DEMOGRAPHICS'!H13:H5000,"Asian",'2DEMOGRAPHICS'!K13:K5000,"Female",'2DEMOGRAPHICS'!L13:L5000,"NO")</f>
        <v>0</v>
      </c>
      <c r="N30" s="364">
        <f>COUNTIFS('2DEMOGRAPHICS'!G13:G5000,"&gt;=35",'2DEMOGRAPHICS'!G13:G5000,"&lt;=44",'2DEMOGRAPHICS'!H13:H5000,"Asian",'2DEMOGRAPHICS'!K13:K5000,"Transgender")</f>
        <v>1</v>
      </c>
      <c r="O30" s="317">
        <f>COUNTIFS('2DEMOGRAPHICS'!G13:G5000,"&gt;=35",'2DEMOGRAPHICS'!G13:G5000,"&lt;=44",'2DEMOGRAPHICS'!H13:H5000,"American Indian / Alaska Native",'2DEMOGRAPHICS'!K13:K5000,"Male")</f>
        <v>0</v>
      </c>
      <c r="P30" s="307">
        <f>COUNTIFS('2DEMOGRAPHICS'!G13:G5000,"&gt;=35",'2DEMOGRAPHICS'!G13:G5000,"&lt;=44",'2DEMOGRAPHICS'!H13:H5000,"American Indian / Alaska Native",'2DEMOGRAPHICS'!K13:K5000,"Female",'2DEMOGRAPHICS'!L13:L5000,"NO")</f>
        <v>0</v>
      </c>
      <c r="Q30" s="364">
        <f>COUNTIFS('2DEMOGRAPHICS'!G13:G5000,"&gt;=35",'2DEMOGRAPHICS'!G13:G5000,"&lt;=44",'2DEMOGRAPHICS'!H13:H5000,"American Indian / Alaska Native",'2DEMOGRAPHICS'!K13:K5000,"Transgender")</f>
        <v>0</v>
      </c>
      <c r="R30" s="317">
        <f>COUNTIFS('2DEMOGRAPHICS'!G13:G5000,"&gt;=35",'2DEMOGRAPHICS'!G13:G5000,"&lt;=44",'2DEMOGRAPHICS'!H13:H5000,"More than one race reported",'2DEMOGRAPHICS'!K13:K5000,"Male")</f>
        <v>0</v>
      </c>
      <c r="S30" s="307">
        <f>COUNTIFS('2DEMOGRAPHICS'!G13:G5000,"&gt;=35",'2DEMOGRAPHICS'!G13:G5000,"&lt;=44",'2DEMOGRAPHICS'!H13:H5000,"More than one race reported",'2DEMOGRAPHICS'!K13:K5000,"Female",'2DEMOGRAPHICS'!L13:L5000,"NO")</f>
        <v>0</v>
      </c>
      <c r="T30" s="364">
        <f>COUNTIFS('2DEMOGRAPHICS'!G13:G5000,"&gt;=35",'2DEMOGRAPHICS'!G13:G5000,"&lt;=44",'2DEMOGRAPHICS'!H13:H5000,"More than one race reported",'2DEMOGRAPHICS'!K13:K5000,"Transgender")</f>
        <v>0</v>
      </c>
      <c r="U30" s="317">
        <f>COUNTIFS('2DEMOGRAPHICS'!G13:G5000,"&gt;=35",'2DEMOGRAPHICS'!G13:G5000,"&lt;=44",'2DEMOGRAPHICS'!H13:H5000,"Unknown",'2DEMOGRAPHICS'!K13:K5000,"Male")</f>
        <v>0</v>
      </c>
      <c r="V30" s="307">
        <f>COUNTIFS('2DEMOGRAPHICS'!G13:G5000,"&gt;=35",'2DEMOGRAPHICS'!G13:G5000,"&lt;=44",'2DEMOGRAPHICS'!H13:H5000,"Unknown",'2DEMOGRAPHICS'!K13:K5000,"Female",'2DEMOGRAPHICS'!L13:L5000,"NO")</f>
        <v>0</v>
      </c>
      <c r="W30" s="364">
        <f>COUNTIFS('2DEMOGRAPHICS'!G13:G5000,"&gt;=35",'2DEMOGRAPHICS'!G13:G5000,"&lt;=44",'2DEMOGRAPHICS'!H13:H5000,"Unknown",'2DEMOGRAPHICS'!K13:K5000,"Transgender")</f>
        <v>0</v>
      </c>
      <c r="X30" s="348">
        <f t="shared" si="0"/>
        <v>0</v>
      </c>
      <c r="Y30" s="349">
        <f t="shared" si="5"/>
        <v>0</v>
      </c>
      <c r="Z30" s="362">
        <f t="shared" si="1"/>
        <v>2</v>
      </c>
      <c r="AA30" s="310" t="s">
        <v>477</v>
      </c>
      <c r="AB30" s="309">
        <f>COUNTIFS('2DEMOGRAPHICS'!G13:G5000,"&gt;=35",'2DEMOGRAPHICS'!G13:G5000,"&lt;=44",'2DEMOGRAPHICS'!I13:I5000,"Not Hispanic or Latino",'2DEMOGRAPHICS'!K13:K5000,"Male")</f>
        <v>0</v>
      </c>
      <c r="AC30" s="300">
        <f>COUNTIFS('2DEMOGRAPHICS'!G13:G5000,"&gt;=35",'2DEMOGRAPHICS'!G13:G5000,"&lt;=44",'2DEMOGRAPHICS'!I13:I5000,"Not Hispanic or Latino",'2DEMOGRAPHICS'!K13:K5000,"Female",'2DEMOGRAPHICS'!L13:L5000,"NO")</f>
        <v>0</v>
      </c>
      <c r="AD30" s="366">
        <f>COUNTIFS('2DEMOGRAPHICS'!G13:G5000,"&gt;=35",'2DEMOGRAPHICS'!G13:G5000,"&lt;=44",'2DEMOGRAPHICS'!I13:I5000,"Not Hispanic or Latino",'2DEMOGRAPHICS'!K13:K5000,"Transgender")</f>
        <v>0</v>
      </c>
      <c r="AE30" s="319">
        <f>COUNTIFS('2DEMOGRAPHICS'!G13:G5000,"&gt;=35",'2DEMOGRAPHICS'!G13:G5000,"&lt;=44",'2DEMOGRAPHICS'!I13:I5000,"Hispanic-Latino ",'2DEMOGRAPHICS'!K13:K5000,"Male")</f>
        <v>0</v>
      </c>
      <c r="AF30" s="300">
        <f>COUNTIFS('2DEMOGRAPHICS'!G13:G5000,"&gt;=35",'2DEMOGRAPHICS'!G13:G5000,"&lt;=44",'2DEMOGRAPHICS'!I13:I5000,"Hispanic-Latino ",'2DEMOGRAPHICS'!K13:K5000,"Female",'2DEMOGRAPHICS'!L13:L5000,"NO")</f>
        <v>0</v>
      </c>
      <c r="AG30" s="366">
        <f>COUNTIFS('2DEMOGRAPHICS'!G13:G5000,"&gt;=35",'2DEMOGRAPHICS'!G13:G5000,"&lt;=44",'2DEMOGRAPHICS'!I13:I5000,"Hispanic-Latino ",'2DEMOGRAPHICS'!K13:K5000,"Transgender")</f>
        <v>0</v>
      </c>
      <c r="AH30" s="319">
        <f>COUNTIFS('2DEMOGRAPHICS'!G13:G5000,"&gt;=35",'2DEMOGRAPHICS'!G13:G5000,"&lt;=44",'2DEMOGRAPHICS'!I13:I5000,"Unknown",'2DEMOGRAPHICS'!K13:K5000,"Male")</f>
        <v>2</v>
      </c>
      <c r="AI30" s="300">
        <f>COUNTIFS('2DEMOGRAPHICS'!G13:G5000,"&gt;=35",'2DEMOGRAPHICS'!G13:G5000,"&lt;=44",'2DEMOGRAPHICS'!I13:I5000,"Unknown",'2DEMOGRAPHICS'!K13:K5000,"Female",'2DEMOGRAPHICS'!L13:L5000,"NO")</f>
        <v>0</v>
      </c>
      <c r="AJ30" s="326">
        <f>COUNTIFS('2DEMOGRAPHICS'!G13:G5000,"&gt;=35",'2DEMOGRAPHICS'!G13:G5000,"&lt;=44",'2DEMOGRAPHICS'!I13:I5000,"Unknown",'2DEMOGRAPHICS'!K13:K5000,"Transgender")</f>
        <v>2</v>
      </c>
      <c r="AK30" s="355">
        <f t="shared" si="2"/>
        <v>2</v>
      </c>
      <c r="AL30" s="356">
        <f t="shared" si="3"/>
        <v>0</v>
      </c>
      <c r="AM30" s="357">
        <f t="shared" si="4"/>
        <v>2</v>
      </c>
    </row>
    <row r="31" spans="1:39" ht="15" customHeight="1" x14ac:dyDescent="0.25">
      <c r="A31" s="1380" t="s">
        <v>478</v>
      </c>
      <c r="B31" s="1381"/>
      <c r="C31" s="321">
        <f>COUNTIFS('2DEMOGRAPHICS'!G13:G5000,"&gt;=45",'2DEMOGRAPHICS'!G13:G5000,"&lt;=54",'2DEMOGRAPHICS'!H13:H5000,"White",'2DEMOGRAPHICS'!K13:K5000,"Male")</f>
        <v>0</v>
      </c>
      <c r="D31" s="307">
        <f>COUNTIFS('2DEMOGRAPHICS'!G13:G5000,"&gt;=45",'2DEMOGRAPHICS'!G13:G5000,"&lt;=54",'2DEMOGRAPHICS'!H13:H5000,"White",'2DEMOGRAPHICS'!K13:K5000,"Female",'2DEMOGRAPHICS'!L13:L5000,"NO")</f>
        <v>0</v>
      </c>
      <c r="E31" s="359">
        <f>COUNTIFS('2DEMOGRAPHICS'!G13:G5000,"&gt;=45",'2DEMOGRAPHICS'!G13:G5000,"&lt;=54",'2DEMOGRAPHICS'!H13:H5000,"White",'2DEMOGRAPHICS'!K13:K5000,"Transgender")</f>
        <v>0</v>
      </c>
      <c r="F31" s="317">
        <f>COUNTIFS('2DEMOGRAPHICS'!G13:G5000,"&gt;=45",'2DEMOGRAPHICS'!G13:G5000,"&lt;=54",'2DEMOGRAPHICS'!H13:H5000,"African American /Black",'2DEMOGRAPHICS'!K13:K5000,"Male")</f>
        <v>0</v>
      </c>
      <c r="G31" s="307">
        <f>COUNTIFS('2DEMOGRAPHICS'!G13:G5000,"&gt;=45",'2DEMOGRAPHICS'!G13:G5000,"&lt;=54",'2DEMOGRAPHICS'!H13:H5000,"African American /Black",'2DEMOGRAPHICS'!K13:K5000,"Female",'2DEMOGRAPHICS'!L13:L5000,"NO")</f>
        <v>0</v>
      </c>
      <c r="H31" s="364">
        <f>COUNTIFS('2DEMOGRAPHICS'!G13:G5000,"&gt;=45",'2DEMOGRAPHICS'!G13:G5000,"&lt;=54",'2DEMOGRAPHICS'!H13:H5000,"African American /Black",'2DEMOGRAPHICS'!K13:K5000,"Transgender")</f>
        <v>0</v>
      </c>
      <c r="I31" s="317">
        <f>COUNTIFS('2DEMOGRAPHICS'!G13:G5000,"&gt;=45",'2DEMOGRAPHICS'!G13:G5000,"&lt;=54",'2DEMOGRAPHICS'!H13:H5000,"Native Hawaiian / Other Pacific Islander",'2DEMOGRAPHICS'!K13:K5000,"Male")</f>
        <v>0</v>
      </c>
      <c r="J31" s="307">
        <f>COUNTIFS('2DEMOGRAPHICS'!G13:G5000,"&gt;=45",'2DEMOGRAPHICS'!G13:G5000,"&lt;=54",'2DEMOGRAPHICS'!H13:H5000,"Native Hawaiian / Other Pacific Islander",'2DEMOGRAPHICS'!K13:K5000,"Female",'2DEMOGRAPHICS'!L13:L5000,"NO")</f>
        <v>0</v>
      </c>
      <c r="K31" s="364">
        <f>COUNTIFS('2DEMOGRAPHICS'!G13:G5000,"&gt;=45",'2DEMOGRAPHICS'!G13:G5000,"&lt;=54",'2DEMOGRAPHICS'!H13:H5000,"Native Hawaiian / Other Pacific Islander",'2DEMOGRAPHICS'!K13:K5000,"Transgender")</f>
        <v>0</v>
      </c>
      <c r="L31" s="317">
        <f>COUNTIFS('2DEMOGRAPHICS'!G13:G5000,"&gt;=45",'2DEMOGRAPHICS'!G13:G5000,"&lt;=54",'2DEMOGRAPHICS'!H13:H5000,"Asian",'2DEMOGRAPHICS'!K13:K5000,"Male")</f>
        <v>0</v>
      </c>
      <c r="M31" s="307">
        <f>COUNTIFS('2DEMOGRAPHICS'!G13:G5000,"&gt;=45",'2DEMOGRAPHICS'!G13:G5000,"&lt;=54",'2DEMOGRAPHICS'!H13:H5000,"Asian",'2DEMOGRAPHICS'!K13:K5000,"Female",'2DEMOGRAPHICS'!L13:L5000,"NO")</f>
        <v>0</v>
      </c>
      <c r="N31" s="364">
        <f>COUNTIFS('2DEMOGRAPHICS'!G13:G5000,"&gt;=45",'2DEMOGRAPHICS'!G13:G5000,"&lt;=54",'2DEMOGRAPHICS'!H13:H5000,"Asian",'2DEMOGRAPHICS'!K13:K5000,"Transgender")</f>
        <v>1</v>
      </c>
      <c r="O31" s="317">
        <f>COUNTIFS('2DEMOGRAPHICS'!G13:G5000,"&gt;=45",'2DEMOGRAPHICS'!G13:G5000,"&lt;=54",'2DEMOGRAPHICS'!H13:H5000,"American Indian / Alaska Native",'2DEMOGRAPHICS'!K13:K5000,"Male")</f>
        <v>0</v>
      </c>
      <c r="P31" s="307">
        <f>COUNTIFS('2DEMOGRAPHICS'!G13:G5000,"&gt;=45",'2DEMOGRAPHICS'!G13:G5000,"&lt;=54",'2DEMOGRAPHICS'!H13:H5000,"American Indian / Alaska Native",'2DEMOGRAPHICS'!K13:K5000,"Female",'2DEMOGRAPHICS'!L13:L5000,"NO")</f>
        <v>0</v>
      </c>
      <c r="Q31" s="364">
        <f>COUNTIFS('2DEMOGRAPHICS'!G13:G5000,"&gt;=45",'2DEMOGRAPHICS'!G13:G5000,"&lt;=54",'2DEMOGRAPHICS'!H13:H5000,"American Indian / Alaska Native",'2DEMOGRAPHICS'!K13:K5000,"Transgender")</f>
        <v>0</v>
      </c>
      <c r="R31" s="317">
        <f>COUNTIFS('2DEMOGRAPHICS'!G13:G5000,"&gt;=45",'2DEMOGRAPHICS'!G13:G5000,"&lt;=54",'2DEMOGRAPHICS'!H13:H5000,"More than one race reported",'2DEMOGRAPHICS'!K13:K5000,"Male")</f>
        <v>0</v>
      </c>
      <c r="S31" s="307">
        <f>COUNTIFS('2DEMOGRAPHICS'!G13:G5000,"&gt;=45",'2DEMOGRAPHICS'!G13:G5000,"&lt;=54",'2DEMOGRAPHICS'!H13:H5000,"More than one race reported",'2DEMOGRAPHICS'!K13:K5000,"Female",'2DEMOGRAPHICS'!L13:L5000,"NO")</f>
        <v>0</v>
      </c>
      <c r="T31" s="364">
        <f>COUNTIFS('2DEMOGRAPHICS'!G13:G5000,"&gt;=45",'2DEMOGRAPHICS'!G13:G5000,"&lt;=54",'2DEMOGRAPHICS'!H13:H5000,"More than one race reported",'2DEMOGRAPHICS'!K13:K5000,"Transgender")</f>
        <v>0</v>
      </c>
      <c r="U31" s="317">
        <f>COUNTIFS('2DEMOGRAPHICS'!G13:G5000,"&gt;=45",'2DEMOGRAPHICS'!G13:G5000,"&lt;=54",'2DEMOGRAPHICS'!H13:H5000,"Unknown",'2DEMOGRAPHICS'!K13:K5000,"Male")</f>
        <v>0</v>
      </c>
      <c r="V31" s="307">
        <f>COUNTIFS('2DEMOGRAPHICS'!G13:G5000,"&gt;=45",'2DEMOGRAPHICS'!G13:G5000,"&lt;=54",'2DEMOGRAPHICS'!H13:H5000,"Unknown",'2DEMOGRAPHICS'!K13:K5000,"Female",'2DEMOGRAPHICS'!L13:L5000,"NO")</f>
        <v>0</v>
      </c>
      <c r="W31" s="364">
        <f>COUNTIFS('2DEMOGRAPHICS'!G13:G5000,"&gt;=45",'2DEMOGRAPHICS'!G13:G5000,"&lt;=54",'2DEMOGRAPHICS'!H13:H5000,"Unknown",'2DEMOGRAPHICS'!K13:K5000,"Transgender")</f>
        <v>0</v>
      </c>
      <c r="X31" s="348">
        <f t="shared" si="0"/>
        <v>0</v>
      </c>
      <c r="Y31" s="349">
        <f t="shared" si="5"/>
        <v>0</v>
      </c>
      <c r="Z31" s="362">
        <f t="shared" si="1"/>
        <v>1</v>
      </c>
      <c r="AA31" s="310" t="s">
        <v>478</v>
      </c>
      <c r="AB31" s="309">
        <f>COUNTIFS('2DEMOGRAPHICS'!G13:G5000,"&gt;=45",'2DEMOGRAPHICS'!G13:G5000,"&lt;=54",'2DEMOGRAPHICS'!I13:I5000,"Not Hispanic or Latino",'2DEMOGRAPHICS'!K13:K5000,"Male")</f>
        <v>2</v>
      </c>
      <c r="AC31" s="300">
        <f>COUNTIFS('2DEMOGRAPHICS'!G13:G5000,"&gt;=45",'2DEMOGRAPHICS'!G13:G5000,"&lt;=54",'2DEMOGRAPHICS'!I13:I5000,"Not Hispanic or Latino",'2DEMOGRAPHICS'!K13:K5000,"Female",'2DEMOGRAPHICS'!L13:L5000,"NO")</f>
        <v>0</v>
      </c>
      <c r="AD31" s="366">
        <f>COUNTIFS('2DEMOGRAPHICS'!G13:G5000,"&gt;=45",'2DEMOGRAPHICS'!G13:G5000,"&lt;=54",'2DEMOGRAPHICS'!I13:I5000,"Not Hispanic or Latino",'2DEMOGRAPHICS'!K13:K5000,"Transgender")</f>
        <v>1</v>
      </c>
      <c r="AE31" s="319">
        <f>COUNTIFS('2DEMOGRAPHICS'!G13:G5000,"&gt;=45",'2DEMOGRAPHICS'!G13:G5000,"&lt;=54",'2DEMOGRAPHICS'!I13:I5000,"Hispanic-Latino ",'2DEMOGRAPHICS'!K13:K5000,"Male")</f>
        <v>0</v>
      </c>
      <c r="AF31" s="300">
        <f>COUNTIFS('2DEMOGRAPHICS'!G13:G5000,"&gt;=45",'2DEMOGRAPHICS'!G13:G5000,"&lt;=54",'2DEMOGRAPHICS'!I13:I5000,"Hispanic-Latino ",'2DEMOGRAPHICS'!K13:K5000,"Female",'2DEMOGRAPHICS'!L13:L5000,"NO")</f>
        <v>0</v>
      </c>
      <c r="AG31" s="366">
        <f>COUNTIFS('2DEMOGRAPHICS'!G13:G5000,"&gt;=45",'2DEMOGRAPHICS'!G13:G5000,"&lt;=54",'2DEMOGRAPHICS'!I13:I5000,"Hispanic-Latino ",'2DEMOGRAPHICS'!K13:K5000,"Transgender")</f>
        <v>0</v>
      </c>
      <c r="AH31" s="319">
        <f>COUNTIFS('2DEMOGRAPHICS'!G13:G5000,"&gt;=45",'2DEMOGRAPHICS'!G13:G5000,"&lt;=54",'2DEMOGRAPHICS'!I13:I5000,"Unknown",'2DEMOGRAPHICS'!K13:K5000,"Male")</f>
        <v>0</v>
      </c>
      <c r="AI31" s="300">
        <f>COUNTIFS('2DEMOGRAPHICS'!G13:G5000,"&gt;=45",'2DEMOGRAPHICS'!G13:G5000,"&lt;=54",'2DEMOGRAPHICS'!I13:I5000,"Unknown",'2DEMOGRAPHICS'!K13:K5000,"Female",'2DEMOGRAPHICS'!L13:L5000,"NO")</f>
        <v>0</v>
      </c>
      <c r="AJ31" s="326">
        <f>COUNTIFS('2DEMOGRAPHICS'!G13:G5000,"&gt;=45",'2DEMOGRAPHICS'!G13:G5000,"&lt;=54",'2DEMOGRAPHICS'!I13:I5000,"Unknown",'2DEMOGRAPHICS'!K13:K5000,"Transgender")</f>
        <v>0</v>
      </c>
      <c r="AK31" s="355">
        <f t="shared" si="2"/>
        <v>2</v>
      </c>
      <c r="AL31" s="356">
        <f t="shared" si="3"/>
        <v>0</v>
      </c>
      <c r="AM31" s="357">
        <f t="shared" si="4"/>
        <v>1</v>
      </c>
    </row>
    <row r="32" spans="1:39" ht="15" customHeight="1" x14ac:dyDescent="0.25">
      <c r="A32" s="1380" t="s">
        <v>479</v>
      </c>
      <c r="B32" s="1381"/>
      <c r="C32" s="321">
        <f>COUNTIFS('2DEMOGRAPHICS'!G13:G5000,"&gt;=55",'2DEMOGRAPHICS'!G13:G5000,"&lt;=64",'2DEMOGRAPHICS'!H13:H5000,"White",'2DEMOGRAPHICS'!K13:K5000,"Male")</f>
        <v>0</v>
      </c>
      <c r="D32" s="307">
        <f>COUNTIFS('2DEMOGRAPHICS'!G13:G5000,"&gt;=55",'2DEMOGRAPHICS'!G13:G5000,"&lt;=64",'2DEMOGRAPHICS'!H13:H5000,"White",'2DEMOGRAPHICS'!K13:K5000,"Female",'2DEMOGRAPHICS'!L13:L5000,"NO")</f>
        <v>0</v>
      </c>
      <c r="E32" s="359">
        <f>COUNTIFS('2DEMOGRAPHICS'!G13:G5000,"&gt;=55",'2DEMOGRAPHICS'!G13:G5000,"&lt;=64",'2DEMOGRAPHICS'!H13:H5000,"White",'2DEMOGRAPHICS'!K13:K5000,"Transgender")</f>
        <v>0</v>
      </c>
      <c r="F32" s="317">
        <f>COUNTIFS('2DEMOGRAPHICS'!G13:G5000,"&gt;=55",'2DEMOGRAPHICS'!G13:G5000,"&lt;=64",'2DEMOGRAPHICS'!H13:H5000,"African American /Black",'2DEMOGRAPHICS'!K13:K5000,"Male")</f>
        <v>0</v>
      </c>
      <c r="G32" s="307">
        <f>COUNTIFS('2DEMOGRAPHICS'!G13:G5000,"&gt;=55",'2DEMOGRAPHICS'!G13:G5000,"&lt;=64",'2DEMOGRAPHICS'!H13:H5000,"African American /Black",'2DEMOGRAPHICS'!K13:K5000,"Female",'2DEMOGRAPHICS'!L13:L5000,"NO")</f>
        <v>0</v>
      </c>
      <c r="H32" s="364">
        <f>COUNTIFS('2DEMOGRAPHICS'!G13:G5000,"&gt;=55",'2DEMOGRAPHICS'!G13:G5000,"&lt;=64",'2DEMOGRAPHICS'!H13:H5000,"African American /Black",'2DEMOGRAPHICS'!K13:K5000,"Transgender")</f>
        <v>0</v>
      </c>
      <c r="I32" s="317">
        <f>COUNTIFS('2DEMOGRAPHICS'!G13:G5000,"&gt;=55",'2DEMOGRAPHICS'!G13:G5000,"&lt;=64",'2DEMOGRAPHICS'!H13:H5000,"Native Hawaiian / Other Pacific Islander",'2DEMOGRAPHICS'!K13:K5000,"Male")</f>
        <v>0</v>
      </c>
      <c r="J32" s="307">
        <f>COUNTIFS('2DEMOGRAPHICS'!G13:G5000,"&gt;=55",'2DEMOGRAPHICS'!G13:G5000,"&lt;=64",'2DEMOGRAPHICS'!H13:H5000,"Native Hawaiian / Other Pacific Islander",'2DEMOGRAPHICS'!K13:K5000,"Female",'2DEMOGRAPHICS'!L13:L5000,"NO")</f>
        <v>0</v>
      </c>
      <c r="K32" s="364">
        <f>COUNTIFS('2DEMOGRAPHICS'!G13:G5000,"&gt;=55",'2DEMOGRAPHICS'!G13:G5000,"&lt;=64",'2DEMOGRAPHICS'!H13:H5000,"Native Hawaiian / Other Pacific Islander",'2DEMOGRAPHICS'!K13:K5000,"Transgender")</f>
        <v>0</v>
      </c>
      <c r="L32" s="317">
        <f>COUNTIFS('2DEMOGRAPHICS'!G13:G5000,"&gt;=55",'2DEMOGRAPHICS'!G13:G5000,"&lt;=64",'2DEMOGRAPHICS'!H13:H5000,"Asian",'2DEMOGRAPHICS'!K13:K5000,"Male")</f>
        <v>0</v>
      </c>
      <c r="M32" s="307">
        <f>COUNTIFS('2DEMOGRAPHICS'!G13:G5000,"&gt;=55",'2DEMOGRAPHICS'!G13:G5000,"&lt;=64",'2DEMOGRAPHICS'!H13:H5000,"Asian",'2DEMOGRAPHICS'!K13:K5000,"Female",'2DEMOGRAPHICS'!L13:L5000,"NO")</f>
        <v>0</v>
      </c>
      <c r="N32" s="364">
        <f>COUNTIFS('2DEMOGRAPHICS'!G13:G5000,"&gt;=55",'2DEMOGRAPHICS'!G13:G5000,"&lt;=64",'2DEMOGRAPHICS'!H13:H5000,"Asian",'2DEMOGRAPHICS'!K13:K5000,"Transgender")</f>
        <v>1</v>
      </c>
      <c r="O32" s="317">
        <f>COUNTIFS('2DEMOGRAPHICS'!G13:G5000,"&gt;=55",'2DEMOGRAPHICS'!G13:G5000,"&lt;=64",'2DEMOGRAPHICS'!H13:H5000,"American Indian / Alaska Native",'2DEMOGRAPHICS'!K13:K5000,"Male")</f>
        <v>0</v>
      </c>
      <c r="P32" s="307">
        <f>COUNTIFS('2DEMOGRAPHICS'!G13:G5000,"&gt;=55",'2DEMOGRAPHICS'!G13:G5000,"&lt;=64",'2DEMOGRAPHICS'!H13:H5000,"American Indian / Alaska Native",'2DEMOGRAPHICS'!K13:K5000,"Female",'2DEMOGRAPHICS'!L13:L5000,"NO")</f>
        <v>0</v>
      </c>
      <c r="Q32" s="364">
        <f>COUNTIFS('2DEMOGRAPHICS'!G13:G5000,"&gt;=55",'2DEMOGRAPHICS'!G13:G5000,"&lt;=64",'2DEMOGRAPHICS'!H13:H5000,"American Indian / Alaska Native",'2DEMOGRAPHICS'!K13:K5000,"Transgender")</f>
        <v>0</v>
      </c>
      <c r="R32" s="317">
        <f>COUNTIFS('2DEMOGRAPHICS'!G13:G5000,"&gt;=55",'2DEMOGRAPHICS'!G13:G5000,"&lt;=64",'2DEMOGRAPHICS'!H13:H5000,"More than one race reported",'2DEMOGRAPHICS'!K13:K5000,"Male")</f>
        <v>0</v>
      </c>
      <c r="S32" s="307">
        <f>COUNTIFS('2DEMOGRAPHICS'!G13:G5000,"&gt;=55",'2DEMOGRAPHICS'!G13:G5000,"&lt;=64",'2DEMOGRAPHICS'!H13:H5000,"More than one race reported",'2DEMOGRAPHICS'!K13:K5000,"Female",'2DEMOGRAPHICS'!L13:L5000,"NO")</f>
        <v>0</v>
      </c>
      <c r="T32" s="364">
        <f>COUNTIFS('2DEMOGRAPHICS'!G13:G5000,"&gt;=55",'2DEMOGRAPHICS'!G13:G5000,"&lt;=64",'2DEMOGRAPHICS'!H13:H5000,"More than one race reported",'2DEMOGRAPHICS'!K13:K5000,"Transgender")</f>
        <v>0</v>
      </c>
      <c r="U32" s="317">
        <f>COUNTIFS('2DEMOGRAPHICS'!G13:G5000,"&gt;=55",'2DEMOGRAPHICS'!G13:G5000,"&lt;=64",'2DEMOGRAPHICS'!H13:H5000,"Unknown",'2DEMOGRAPHICS'!K13:K5000,"Male")</f>
        <v>0</v>
      </c>
      <c r="V32" s="307">
        <f>COUNTIFS('2DEMOGRAPHICS'!G13:G5000,"&gt;=55",'2DEMOGRAPHICS'!G13:G5000,"&lt;=64",'2DEMOGRAPHICS'!H13:H5000,"Unknown",'2DEMOGRAPHICS'!K13:K5000,"Female",'2DEMOGRAPHICS'!L13:L5000,"NO")</f>
        <v>0</v>
      </c>
      <c r="W32" s="364">
        <f>COUNTIFS('2DEMOGRAPHICS'!G13:G5000,"&gt;=55",'2DEMOGRAPHICS'!G13:G5000,"&lt;=64",'2DEMOGRAPHICS'!H13:H5000,"Unknown",'2DEMOGRAPHICS'!K13:K5000,"Transgender")</f>
        <v>0</v>
      </c>
      <c r="X32" s="348">
        <f t="shared" si="0"/>
        <v>0</v>
      </c>
      <c r="Y32" s="349">
        <f t="shared" si="5"/>
        <v>0</v>
      </c>
      <c r="Z32" s="362">
        <f t="shared" si="1"/>
        <v>1</v>
      </c>
      <c r="AA32" s="310" t="s">
        <v>479</v>
      </c>
      <c r="AB32" s="309">
        <f>COUNTIFS('2DEMOGRAPHICS'!G13:G5000,"&gt;=55",'2DEMOGRAPHICS'!G13:G5000,"&lt;=64",'2DEMOGRAPHICS'!I13:I5000,"Not Hispanic or Latino",'2DEMOGRAPHICS'!K13:K5000,"Male")</f>
        <v>0</v>
      </c>
      <c r="AC32" s="300">
        <f>COUNTIFS('2DEMOGRAPHICS'!G13:G5000,"&gt;=55",'2DEMOGRAPHICS'!G13:G5000,"&lt;=64",'2DEMOGRAPHICS'!I13:I5000,"Not Hispanic or Latino",'2DEMOGRAPHICS'!K13:K5000,"Female",'2DEMOGRAPHICS'!L13:L5000,"NO")</f>
        <v>0</v>
      </c>
      <c r="AD32" s="366">
        <f>COUNTIFS('2DEMOGRAPHICS'!G13:G5000,"&gt;=55",'2DEMOGRAPHICS'!G13:G5000,"&lt;=64",'2DEMOGRAPHICS'!I13:I5000,"Not Hispanic or Latino",'2DEMOGRAPHICS'!K13:K5000,"Transgender")</f>
        <v>0</v>
      </c>
      <c r="AE32" s="319">
        <f>COUNTIFS('2DEMOGRAPHICS'!G13:G5000,"&gt;=55",'2DEMOGRAPHICS'!G13:G5000,"&lt;=64",'2DEMOGRAPHICS'!I13:I5000,"Hispanic-Latino ",'2DEMOGRAPHICS'!K13:K5000,"Male")</f>
        <v>1</v>
      </c>
      <c r="AF32" s="300">
        <f>COUNTIFS('2DEMOGRAPHICS'!G13:G5000,"&gt;=55",'2DEMOGRAPHICS'!G13:G5000,"&lt;=64",'2DEMOGRAPHICS'!I13:I5000,"Hispanic-Latino ",'2DEMOGRAPHICS'!K13:K5000,"Female",'2DEMOGRAPHICS'!L13:L5000,"NO")</f>
        <v>0</v>
      </c>
      <c r="AG32" s="366">
        <f>COUNTIFS('2DEMOGRAPHICS'!G13:G5000,"&gt;=55",'2DEMOGRAPHICS'!G13:G5000,"&lt;=64",'2DEMOGRAPHICS'!I13:I5000,"Hispanic-Latino ",'2DEMOGRAPHICS'!K13:K5000,"Transgender")</f>
        <v>2</v>
      </c>
      <c r="AH32" s="319">
        <f>COUNTIFS('2DEMOGRAPHICS'!G13:G5000,"&gt;=55",'2DEMOGRAPHICS'!G13:G5000,"&lt;=64",'2DEMOGRAPHICS'!I13:I5000,"Unknown",'2DEMOGRAPHICS'!K13:K5000,"Male")</f>
        <v>0</v>
      </c>
      <c r="AI32" s="300">
        <f>COUNTIFS('2DEMOGRAPHICS'!G13:G5000,"&gt;=55",'2DEMOGRAPHICS'!G13:G5000,"&lt;=64",'2DEMOGRAPHICS'!I13:I5000,"Unknown",'2DEMOGRAPHICS'!K13:K5000,"Female",'2DEMOGRAPHICS'!L13:L5000,"NO")</f>
        <v>0</v>
      </c>
      <c r="AJ32" s="326">
        <f>COUNTIFS('2DEMOGRAPHICS'!G13:G5000,"&gt;=55",'2DEMOGRAPHICS'!G13:G5000,"&lt;=64",'2DEMOGRAPHICS'!I13:I5000,"Unknown",'2DEMOGRAPHICS'!K13:K5000,"Transgender")</f>
        <v>0</v>
      </c>
      <c r="AK32" s="355">
        <f t="shared" si="2"/>
        <v>1</v>
      </c>
      <c r="AL32" s="356">
        <f t="shared" si="3"/>
        <v>0</v>
      </c>
      <c r="AM32" s="357">
        <f t="shared" si="4"/>
        <v>2</v>
      </c>
    </row>
    <row r="33" spans="1:39" ht="15" customHeight="1" x14ac:dyDescent="0.25">
      <c r="A33" s="1380" t="s">
        <v>480</v>
      </c>
      <c r="B33" s="1381"/>
      <c r="C33" s="321">
        <f>COUNTIFS('2DEMOGRAPHICS'!G13:G5000,"&gt;=65",'2DEMOGRAPHICS'!G13:G5000,"&lt;=74",'2DEMOGRAPHICS'!H13:H5000,"White",'2DEMOGRAPHICS'!K13:K5000,"Male")</f>
        <v>0</v>
      </c>
      <c r="D33" s="307">
        <f>COUNTIFS('2DEMOGRAPHICS'!G13:G5000,"&gt;=65",'2DEMOGRAPHICS'!G13:G5000,"&lt;=74",'2DEMOGRAPHICS'!H13:H5000,"White",'2DEMOGRAPHICS'!K13:K5000,"Female",'2DEMOGRAPHICS'!L13:L5000,"NO")</f>
        <v>0</v>
      </c>
      <c r="E33" s="359">
        <f>COUNTIFS('2DEMOGRAPHICS'!G13:G5000,"&gt;=65",'2DEMOGRAPHICS'!G13:G5000,"&lt;=74",'2DEMOGRAPHICS'!H13:H5000,"White",'2DEMOGRAPHICS'!K13:K5000,"Transgender")</f>
        <v>0</v>
      </c>
      <c r="F33" s="317">
        <f>COUNTIFS('2DEMOGRAPHICS'!G13:G5000,"&gt;=65",'2DEMOGRAPHICS'!G13:G5000,"&lt;=74",'2DEMOGRAPHICS'!H13:H5000,"African American /Black",'2DEMOGRAPHICS'!K13:K5000,"Male")</f>
        <v>0</v>
      </c>
      <c r="G33" s="307">
        <f>COUNTIFS('2DEMOGRAPHICS'!G13:G5000,"&gt;=65",'2DEMOGRAPHICS'!G13:G5000,"&lt;=74",'2DEMOGRAPHICS'!H13:H5000,"African American /Black",'2DEMOGRAPHICS'!K13:K5000,"Female",'2DEMOGRAPHICS'!L13:L5000,"NO")</f>
        <v>0</v>
      </c>
      <c r="H33" s="364">
        <f>COUNTIFS('2DEMOGRAPHICS'!G13:G5000,"&gt;=65",'2DEMOGRAPHICS'!G13:G5000,"&lt;=74",'2DEMOGRAPHICS'!H13:H5000,"African American /Black",'2DEMOGRAPHICS'!K13:K5000,"Transgender")</f>
        <v>0</v>
      </c>
      <c r="I33" s="317">
        <f>COUNTIFS('2DEMOGRAPHICS'!G13:G5000,"&gt;=65",'2DEMOGRAPHICS'!G13:G5000,"&lt;=74",'2DEMOGRAPHICS'!H13:H5000,"Native Hawaiian / Other Pacific Islander",'2DEMOGRAPHICS'!K13:K5000,"Male")</f>
        <v>1</v>
      </c>
      <c r="J33" s="307">
        <f>COUNTIFS('2DEMOGRAPHICS'!G13:G5000,"&gt;=65",'2DEMOGRAPHICS'!G13:G5000,"&lt;=74",'2DEMOGRAPHICS'!H13:H5000,"Native Hawaiian / Other Pacific Islander",'2DEMOGRAPHICS'!K13:K5000,"Female",'2DEMOGRAPHICS'!L13:L5000,"NO")</f>
        <v>0</v>
      </c>
      <c r="K33" s="364">
        <f>COUNTIFS('2DEMOGRAPHICS'!G13:G5000,"&gt;=65",'2DEMOGRAPHICS'!G13:G5000,"&lt;=74",'2DEMOGRAPHICS'!H13:H5000,"Native Hawaiian / Other Pacific Islander",'2DEMOGRAPHICS'!K13:K5000,"Transgender")</f>
        <v>0</v>
      </c>
      <c r="L33" s="317">
        <f>COUNTIFS('2DEMOGRAPHICS'!G13:G5000,"&gt;=65",'2DEMOGRAPHICS'!G13:G5000,"&lt;=74",'2DEMOGRAPHICS'!H13:H5000,"Asian",'2DEMOGRAPHICS'!K13:K5000,"Male")</f>
        <v>0</v>
      </c>
      <c r="M33" s="307">
        <f>COUNTIFS('2DEMOGRAPHICS'!G13:G5000,"&gt;=65",'2DEMOGRAPHICS'!G13:G5000,"&lt;=74",'2DEMOGRAPHICS'!H13:H5000,"Asian",'2DEMOGRAPHICS'!K13:K5000,"Female",'2DEMOGRAPHICS'!L13:L5000,"NO")</f>
        <v>0</v>
      </c>
      <c r="N33" s="364">
        <f>COUNTIFS('2DEMOGRAPHICS'!G13:G5000,"&gt;=65",'2DEMOGRAPHICS'!G13:G5000,"&lt;=74",'2DEMOGRAPHICS'!H13:H5000,"Asian",'2DEMOGRAPHICS'!K13:K5000,"Transgender")</f>
        <v>0</v>
      </c>
      <c r="O33" s="317">
        <f>COUNTIFS('2DEMOGRAPHICS'!G13:G5000,"&gt;=65",'2DEMOGRAPHICS'!G13:G5000,"&lt;=74",'2DEMOGRAPHICS'!H13:H5000,"American Indian / Alaska Native",'2DEMOGRAPHICS'!K13:K5000,"Male")</f>
        <v>0</v>
      </c>
      <c r="P33" s="307">
        <f>COUNTIFS('2DEMOGRAPHICS'!G13:G5000,"&gt;=65",'2DEMOGRAPHICS'!G13:G5000,"&lt;=74",'2DEMOGRAPHICS'!H13:H5000,"American Indian / Alaska Native",'2DEMOGRAPHICS'!K13:K5000,"Female",'2DEMOGRAPHICS'!L13:L5000,"NO")</f>
        <v>0</v>
      </c>
      <c r="Q33" s="364">
        <f>COUNTIFS('2DEMOGRAPHICS'!G13:G5000,"&gt;=65",'2DEMOGRAPHICS'!G13:G5000,"&lt;=74",'2DEMOGRAPHICS'!H13:H5000,"American Indian / Alaska Native",'2DEMOGRAPHICS'!K13:K5000,"Transgender")</f>
        <v>0</v>
      </c>
      <c r="R33" s="317">
        <f>COUNTIFS('2DEMOGRAPHICS'!G13:G5000,"&gt;=65",'2DEMOGRAPHICS'!G13:G5000,"&lt;=74",'2DEMOGRAPHICS'!H13:H5000,"More than one race reported",'2DEMOGRAPHICS'!K13:K5000,"Male")</f>
        <v>0</v>
      </c>
      <c r="S33" s="307">
        <f>COUNTIFS('2DEMOGRAPHICS'!G13:G5000,"&gt;=65",'2DEMOGRAPHICS'!G13:G5000,"&lt;=74",'2DEMOGRAPHICS'!H13:H5000,"More than one race reported",'2DEMOGRAPHICS'!K13:K5000,"Female",'2DEMOGRAPHICS'!L13:L5000,"NO")</f>
        <v>0</v>
      </c>
      <c r="T33" s="364">
        <f>COUNTIFS('2DEMOGRAPHICS'!G13:G5000,"&gt;=65",'2DEMOGRAPHICS'!G13:G5000,"&lt;=74",'2DEMOGRAPHICS'!H13:H5000,"More than one race reported",'2DEMOGRAPHICS'!K13:K5000,"Transgender")</f>
        <v>0</v>
      </c>
      <c r="U33" s="317">
        <f>COUNTIFS('2DEMOGRAPHICS'!G13:G5000,"&gt;=65",'2DEMOGRAPHICS'!G13:G5000,"&lt;=74",'2DEMOGRAPHICS'!H13:H5000,"Unknown",'2DEMOGRAPHICS'!K13:K5000,"Male")</f>
        <v>0</v>
      </c>
      <c r="V33" s="307">
        <f>COUNTIFS('2DEMOGRAPHICS'!G13:G5000,"&gt;=65",'2DEMOGRAPHICS'!G13:G5000,"&lt;=74",'2DEMOGRAPHICS'!H13:H5000,"Unknown",'2DEMOGRAPHICS'!K13:K5000,"Female",'2DEMOGRAPHICS'!L13:L5000,"NO")</f>
        <v>0</v>
      </c>
      <c r="W33" s="364">
        <f>COUNTIFS('2DEMOGRAPHICS'!G13:G5000,"&gt;=65",'2DEMOGRAPHICS'!G13:G5000,"&lt;=74",'2DEMOGRAPHICS'!H13:H5000,"Unknown",'2DEMOGRAPHICS'!K13:K5000,"Transgender")</f>
        <v>0</v>
      </c>
      <c r="X33" s="348">
        <f t="shared" si="0"/>
        <v>1</v>
      </c>
      <c r="Y33" s="349">
        <f t="shared" si="5"/>
        <v>0</v>
      </c>
      <c r="Z33" s="362">
        <f t="shared" si="1"/>
        <v>0</v>
      </c>
      <c r="AA33" s="310" t="s">
        <v>480</v>
      </c>
      <c r="AB33" s="309">
        <f>COUNTIFS('2DEMOGRAPHICS'!G13:G5000,"&gt;=65",'2DEMOGRAPHICS'!G13:G5000,"&lt;=74",'2DEMOGRAPHICS'!I13:I5000,"Not Hispanic or Latino",'2DEMOGRAPHICS'!K13:K5000,"Male")</f>
        <v>0</v>
      </c>
      <c r="AC33" s="300">
        <f>COUNTIFS('2DEMOGRAPHICS'!G13:G5000,"&gt;=65",'2DEMOGRAPHICS'!G13:G5000,"&lt;=74",'2DEMOGRAPHICS'!I13:I5000,"Not Hispanic or Latino",'2DEMOGRAPHICS'!K13:K5000,"Female",'2DEMOGRAPHICS'!L13:L5000,"NO")</f>
        <v>0</v>
      </c>
      <c r="AD33" s="366">
        <f>COUNTIFS('2DEMOGRAPHICS'!G13:G5000,"&gt;=65",'2DEMOGRAPHICS'!G13:G5000,"&lt;=74",'2DEMOGRAPHICS'!I13:I5000,"Not Hispanic or Latino",'2DEMOGRAPHICS'!K13:K5000,"Transgender")</f>
        <v>0</v>
      </c>
      <c r="AE33" s="319">
        <f>COUNTIFS('2DEMOGRAPHICS'!G13:G5000,"&gt;=65",'2DEMOGRAPHICS'!G13:G5000,"&lt;=74",'2DEMOGRAPHICS'!I13:I5000,"Hispanic-Latino ",'2DEMOGRAPHICS'!K13:K5000,"Male")</f>
        <v>0</v>
      </c>
      <c r="AF33" s="300">
        <f>COUNTIFS('2DEMOGRAPHICS'!G13:G5000,"&gt;=65",'2DEMOGRAPHICS'!G13:G5000,"&lt;=74",'2DEMOGRAPHICS'!I13:I5000,"Hispanic-Latino ",'2DEMOGRAPHICS'!K13:K5000,"Female",'2DEMOGRAPHICS'!L13:L5000,"NO")</f>
        <v>0</v>
      </c>
      <c r="AG33" s="366">
        <f>COUNTIFS('2DEMOGRAPHICS'!G13:G5000,"&gt;=65",'2DEMOGRAPHICS'!G13:G5000,"&lt;=74",'2DEMOGRAPHICS'!I13:I5000,"Hispanic-Latino ",'2DEMOGRAPHICS'!K13:K5000,"Transgender")</f>
        <v>0</v>
      </c>
      <c r="AH33" s="319">
        <f>COUNTIFS('2DEMOGRAPHICS'!G13:G5000,"&gt;=65",'2DEMOGRAPHICS'!G13:G5000,"&lt;=74",'2DEMOGRAPHICS'!I13:I5000,"Unknown",'2DEMOGRAPHICS'!K13:K5000,"Male")</f>
        <v>2</v>
      </c>
      <c r="AI33" s="300">
        <f>COUNTIFS('2DEMOGRAPHICS'!G13:G5000,"&gt;=65",'2DEMOGRAPHICS'!G13:G5000,"&lt;=74",'2DEMOGRAPHICS'!I13:I5000,"Unknown",'2DEMOGRAPHICS'!K13:K5000,"Female",'2DEMOGRAPHICS'!L13:L5000,"NO")</f>
        <v>0</v>
      </c>
      <c r="AJ33" s="326">
        <f>COUNTIFS('2DEMOGRAPHICS'!G13:G5000,"&gt;=65",'2DEMOGRAPHICS'!G13:G5000,"&lt;=74",'2DEMOGRAPHICS'!I13:I5000,"Unknown",'2DEMOGRAPHICS'!K13:K5000,"Transgender")</f>
        <v>2</v>
      </c>
      <c r="AK33" s="355">
        <f t="shared" si="2"/>
        <v>2</v>
      </c>
      <c r="AL33" s="356">
        <f t="shared" si="3"/>
        <v>0</v>
      </c>
      <c r="AM33" s="357">
        <f t="shared" si="4"/>
        <v>2</v>
      </c>
    </row>
    <row r="34" spans="1:39" ht="15" customHeight="1" x14ac:dyDescent="0.25">
      <c r="A34" s="1380" t="s">
        <v>481</v>
      </c>
      <c r="B34" s="1381"/>
      <c r="C34" s="317">
        <f>COUNTIFS('2DEMOGRAPHICS'!G13:G5000,"&gt;=75",'2DEMOGRAPHICS'!G13:G5000,"&lt;=150",'2DEMOGRAPHICS'!H13:H5000,"White",'2DEMOGRAPHICS'!K13:K5000,"Male")</f>
        <v>0</v>
      </c>
      <c r="D34" s="307">
        <f>COUNTIFS('2DEMOGRAPHICS'!G13:G5000,"&gt;=75",'2DEMOGRAPHICS'!G13:G5000,"&lt;=150",'2DEMOGRAPHICS'!H13:H5000,"White",'2DEMOGRAPHICS'!K13:K5000,"Female",'2DEMOGRAPHICS'!L13:L5000,"NO")</f>
        <v>0</v>
      </c>
      <c r="E34" s="359">
        <f>COUNTIFS('2DEMOGRAPHICS'!G13:G5000,"&gt;=75",'2DEMOGRAPHICS'!G13:G5000,"&lt;=150",'2DEMOGRAPHICS'!H13:H5000,"White",'2DEMOGRAPHICS'!K13:K5000,"Transgender")</f>
        <v>1</v>
      </c>
      <c r="F34" s="317">
        <f>COUNTIFS('2DEMOGRAPHICS'!G13:G5000,"&gt;=75",'2DEMOGRAPHICS'!G13:G5000,"&lt;=150",'2DEMOGRAPHICS'!H13:H5000,"African American /Black",'2DEMOGRAPHICS'!K13:K5000,"Male")</f>
        <v>0</v>
      </c>
      <c r="G34" s="307">
        <f>COUNTIFS('2DEMOGRAPHICS'!G13:G5000,"&gt;=75",'2DEMOGRAPHICS'!G13:G5000,"&lt;=150",'2DEMOGRAPHICS'!H13:H5000,"African American /Black",'2DEMOGRAPHICS'!K13:K5000,"Female",'2DEMOGRAPHICS'!L13:L5000,"NO")</f>
        <v>0</v>
      </c>
      <c r="H34" s="364">
        <f>COUNTIFS('2DEMOGRAPHICS'!G13:G5000,"&gt;=75",'2DEMOGRAPHICS'!G13:G5000,"&lt;=150",'2DEMOGRAPHICS'!H13:H5000,"African American /Black",'2DEMOGRAPHICS'!K13:K5000,"Transgender")</f>
        <v>0</v>
      </c>
      <c r="I34" s="317">
        <f>COUNTIFS('2DEMOGRAPHICS'!G13:G5000,"&gt;=75",'2DEMOGRAPHICS'!G13:G5000,"&lt;=150",'2DEMOGRAPHICS'!H13:H5000,"Native Hawaiian / Other Pacific Islander",'2DEMOGRAPHICS'!K13:K5000,"Male")</f>
        <v>1</v>
      </c>
      <c r="J34" s="307">
        <f>COUNTIFS('2DEMOGRAPHICS'!G13:G5000,"&gt;=75",'2DEMOGRAPHICS'!G13:G5000,"&lt;=150",'2DEMOGRAPHICS'!H13:H5000,"Native Hawaiian / Other Pacific Islander",'2DEMOGRAPHICS'!K13:K5000,"Female",'2DEMOGRAPHICS'!L13:L5000,"NO")</f>
        <v>0</v>
      </c>
      <c r="K34" s="364">
        <f>COUNTIFS('2DEMOGRAPHICS'!G13:G5000,"&gt;=75",'2DEMOGRAPHICS'!G13:G5000,"&lt;=150",'2DEMOGRAPHICS'!H13:H5000,"Native Hawaiian / Other Pacific Islander",'2DEMOGRAPHICS'!K13:K5000,"Transgender")</f>
        <v>0</v>
      </c>
      <c r="L34" s="317">
        <f>COUNTIFS('2DEMOGRAPHICS'!G13:G5000,"&gt;=75",'2DEMOGRAPHICS'!G13:G5000,"&lt;=150",'2DEMOGRAPHICS'!H13:H5000,"Asian",'2DEMOGRAPHICS'!K13:K5000,"Male")</f>
        <v>0</v>
      </c>
      <c r="M34" s="307">
        <f>COUNTIFS('2DEMOGRAPHICS'!G13:G5000,"&gt;=75",'2DEMOGRAPHICS'!G13:G5000,"&lt;=150",'2DEMOGRAPHICS'!H13:H5000,"Asian",'2DEMOGRAPHICS'!K13:K5000,"Female",'2DEMOGRAPHICS'!L13:L5000,"NO")</f>
        <v>1</v>
      </c>
      <c r="N34" s="364">
        <f>COUNTIFS('2DEMOGRAPHICS'!G13:G5000,"&gt;=75",'2DEMOGRAPHICS'!G13:G5000,"&lt;=150",'2DEMOGRAPHICS'!H13:H5000,"Asian",'2DEMOGRAPHICS'!K13:K5000,"Transgender")</f>
        <v>0</v>
      </c>
      <c r="O34" s="317">
        <f>COUNTIFS('2DEMOGRAPHICS'!G13:G5000,"&gt;=75",'2DEMOGRAPHICS'!G13:G5000,"&lt;=150",'2DEMOGRAPHICS'!H13:H5000,"American Indian / Alaska Native",'2DEMOGRAPHICS'!K13:K5000,"Male")</f>
        <v>0</v>
      </c>
      <c r="P34" s="307">
        <f>COUNTIFS('2DEMOGRAPHICS'!G13:G5000,"&gt;=75",'2DEMOGRAPHICS'!G13:G5000,"&lt;=150",'2DEMOGRAPHICS'!H13:H5000,"American Indian / Alaska Native",'2DEMOGRAPHICS'!K13:K5000,"Female",'2DEMOGRAPHICS'!L13:L5000,"NO")</f>
        <v>0</v>
      </c>
      <c r="Q34" s="364">
        <f>COUNTIFS('2DEMOGRAPHICS'!G13:G5000,"&gt;=75",'2DEMOGRAPHICS'!G13:G5000,"&lt;=150",'2DEMOGRAPHICS'!H13:H5000,"American Indian / Alaska Native",'2DEMOGRAPHICS'!K13:K5000,"Transgender")</f>
        <v>0</v>
      </c>
      <c r="R34" s="317">
        <f>COUNTIFS('2DEMOGRAPHICS'!G13:G5000,"&lt;=75",'2DEMOGRAPHICS'!G13:G5000,"&lt;=150",'2DEMOGRAPHICS'!H13:H5000,"More than one race reported",'2DEMOGRAPHICS'!K13:K5000,"Male")</f>
        <v>0</v>
      </c>
      <c r="S34" s="307">
        <f>COUNTIFS('2DEMOGRAPHICS'!G13:G5000,"&gt;=75",'2DEMOGRAPHICS'!G13:G5000,"&lt;=150",'2DEMOGRAPHICS'!H13:H5000,"More than one race reported",'2DEMOGRAPHICS'!K13:K5000,"Female",'2DEMOGRAPHICS'!L13:L5000,"NO")</f>
        <v>0</v>
      </c>
      <c r="T34" s="364">
        <f>COUNTIFS('2DEMOGRAPHICS'!G13:G5000,"&gt;=75",'2DEMOGRAPHICS'!G13:G5000,"&lt;=150",'2DEMOGRAPHICS'!H13:H5000,"More than one race reported",'2DEMOGRAPHICS'!K13:K5000,"Transgender")</f>
        <v>0</v>
      </c>
      <c r="U34" s="317">
        <f>COUNTIFS('2DEMOGRAPHICS'!G13:G5000,"&gt;=75",'2DEMOGRAPHICS'!G13:G5000,"&lt;=150",'2DEMOGRAPHICS'!H13:H5000,"Unknown",'2DEMOGRAPHICS'!K13:K5000,"Male")</f>
        <v>0</v>
      </c>
      <c r="V34" s="307">
        <f>COUNTIFS('2DEMOGRAPHICS'!G13:G5000,"&gt;=75",'2DEMOGRAPHICS'!G13:G5000,"&lt;=150",'2DEMOGRAPHICS'!H13:H5000,"Unknown",'2DEMOGRAPHICS'!K13:K5000,"Female",'2DEMOGRAPHICS'!L13:L5000,"NO")</f>
        <v>0</v>
      </c>
      <c r="W34" s="364">
        <f>COUNTIFS('2DEMOGRAPHICS'!G13:G5000,"&gt;=75",'2DEMOGRAPHICS'!G13:G5000,"&lt;=150",'2DEMOGRAPHICS'!H13:H5000,"Unknown",'2DEMOGRAPHICS'!K13:K5000,"Transgender")</f>
        <v>0</v>
      </c>
      <c r="X34" s="348">
        <f t="shared" si="0"/>
        <v>1</v>
      </c>
      <c r="Y34" s="349">
        <f t="shared" si="5"/>
        <v>1</v>
      </c>
      <c r="Z34" s="362">
        <f t="shared" si="1"/>
        <v>1</v>
      </c>
      <c r="AA34" s="310" t="s">
        <v>502</v>
      </c>
      <c r="AB34" s="309">
        <f>COUNTIFS('2DEMOGRAPHICS'!G13:G5000,"&gt;=75",'2DEMOGRAPHICS'!G13:G5000,"&lt;=150",'2DEMOGRAPHICS'!I13:I5000,"Not Hispanic or Latino",'2DEMOGRAPHICS'!K13:K5000,"Male")</f>
        <v>2</v>
      </c>
      <c r="AC34" s="300">
        <f>COUNTIFS('2DEMOGRAPHICS'!G13:G5000,"&gt;=75",'2DEMOGRAPHICS'!G13:G5000,"&lt;=150",'2DEMOGRAPHICS'!I13:I5000,"Not Hispanic or Latino",'2DEMOGRAPHICS'!K13:K5000,"Female",'2DEMOGRAPHICS'!L13:L5000,"NO")</f>
        <v>1</v>
      </c>
      <c r="AD34" s="366">
        <f>COUNTIFS('2DEMOGRAPHICS'!G13:G5000,"&gt;=75",'2DEMOGRAPHICS'!G13:G5000,"&lt;=150",'2DEMOGRAPHICS'!I13:I5000,"Not Hispanic or Latino",'2DEMOGRAPHICS'!K13:K5000,"Transgender")</f>
        <v>2</v>
      </c>
      <c r="AE34" s="319">
        <f>COUNTIFS('2DEMOGRAPHICS'!G13:G5000,"&gt;=75",'2DEMOGRAPHICS'!G13:G5000,"&lt;=150",'2DEMOGRAPHICS'!I13:I5000,"Hispanic-Latino ",'2DEMOGRAPHICS'!K13:K5000,"Male")</f>
        <v>0</v>
      </c>
      <c r="AF34" s="300">
        <f>COUNTIFS('2DEMOGRAPHICS'!G13:G5000,"&gt;=75",'2DEMOGRAPHICS'!G13:G5000,"&lt;=150",'2DEMOGRAPHICS'!I13:I5000,"Hispanic-Latino ",'2DEMOGRAPHICS'!K13:K5000,"Female",'2DEMOGRAPHICS'!L13:L5000,"NO")</f>
        <v>0</v>
      </c>
      <c r="AG34" s="366">
        <f>COUNTIFS('2DEMOGRAPHICS'!G13:G5000,"&gt;=75",'2DEMOGRAPHICS'!G13:G5000,"&lt;=150",'2DEMOGRAPHICS'!I13:I5000,"Hispanic-Latino ",'2DEMOGRAPHICS'!K13:K5000,"Transgender")</f>
        <v>0</v>
      </c>
      <c r="AH34" s="319">
        <f>COUNTIFS('2DEMOGRAPHICS'!G13:G5000,"&gt;=75",'2DEMOGRAPHICS'!G13:G5000,"&lt;=150",'2DEMOGRAPHICS'!I13:I5000,"Unknown",'2DEMOGRAPHICS'!K13:K5000,"Male")</f>
        <v>0</v>
      </c>
      <c r="AI34" s="300">
        <f>COUNTIFS('2DEMOGRAPHICS'!G13:G5000,"&gt;=75",'2DEMOGRAPHICS'!G13:G5000,"&lt;=150",'2DEMOGRAPHICS'!I13:I5000,"Unknown",'2DEMOGRAPHICS'!K13:K5000,"Female",'2DEMOGRAPHICS'!L13:L5000,"NO")</f>
        <v>0</v>
      </c>
      <c r="AJ34" s="326">
        <f>COUNTIFS('2DEMOGRAPHICS'!G13:G5000,"&gt;=75",'2DEMOGRAPHICS'!G13:G5000,"&lt;=150",'2DEMOGRAPHICS'!I13:I5000,"Unknown",'2DEMOGRAPHICS'!K13:K5000,"Transgender")</f>
        <v>0</v>
      </c>
      <c r="AK34" s="355">
        <f t="shared" si="2"/>
        <v>2</v>
      </c>
      <c r="AL34" s="356">
        <f t="shared" si="3"/>
        <v>1</v>
      </c>
      <c r="AM34" s="357">
        <f t="shared" si="4"/>
        <v>2</v>
      </c>
    </row>
    <row r="35" spans="1:39" ht="18.75" customHeight="1" x14ac:dyDescent="0.25">
      <c r="A35" s="1467" t="s">
        <v>471</v>
      </c>
      <c r="B35" s="1468"/>
      <c r="C35" s="341">
        <f>SUM(C25:C34)</f>
        <v>3</v>
      </c>
      <c r="D35" s="342">
        <f>SUM(D25:D34)</f>
        <v>0</v>
      </c>
      <c r="E35" s="360">
        <f t="shared" ref="E35:W35" si="6">SUM(E25:E34)</f>
        <v>3</v>
      </c>
      <c r="F35" s="341">
        <f t="shared" si="6"/>
        <v>0</v>
      </c>
      <c r="G35" s="342">
        <f t="shared" si="6"/>
        <v>0</v>
      </c>
      <c r="H35" s="343">
        <f t="shared" si="6"/>
        <v>0</v>
      </c>
      <c r="I35" s="341">
        <f t="shared" si="6"/>
        <v>2</v>
      </c>
      <c r="J35" s="342">
        <f t="shared" si="6"/>
        <v>0</v>
      </c>
      <c r="K35" s="344">
        <f>SUM(K25:K34)</f>
        <v>2</v>
      </c>
      <c r="L35" s="341">
        <f t="shared" si="6"/>
        <v>2</v>
      </c>
      <c r="M35" s="342">
        <f t="shared" si="6"/>
        <v>1</v>
      </c>
      <c r="N35" s="344">
        <f t="shared" si="6"/>
        <v>3</v>
      </c>
      <c r="O35" s="341">
        <f t="shared" si="6"/>
        <v>0</v>
      </c>
      <c r="P35" s="342">
        <f t="shared" si="6"/>
        <v>0</v>
      </c>
      <c r="Q35" s="343">
        <f t="shared" si="6"/>
        <v>0</v>
      </c>
      <c r="R35" s="341">
        <f t="shared" si="6"/>
        <v>0</v>
      </c>
      <c r="S35" s="342">
        <f t="shared" si="6"/>
        <v>0</v>
      </c>
      <c r="T35" s="343">
        <f t="shared" si="6"/>
        <v>0</v>
      </c>
      <c r="U35" s="341">
        <f t="shared" si="6"/>
        <v>0</v>
      </c>
      <c r="V35" s="342">
        <f t="shared" si="6"/>
        <v>0</v>
      </c>
      <c r="W35" s="344">
        <f t="shared" si="6"/>
        <v>0</v>
      </c>
      <c r="X35" s="341">
        <f t="shared" si="0"/>
        <v>7</v>
      </c>
      <c r="Y35" s="345">
        <f t="shared" si="5"/>
        <v>1</v>
      </c>
      <c r="Z35" s="344">
        <f t="shared" si="1"/>
        <v>8</v>
      </c>
      <c r="AA35" s="331" t="s">
        <v>503</v>
      </c>
      <c r="AB35" s="335">
        <f t="shared" ref="AB35:AJ35" si="7">SUM(AB25:AB34)</f>
        <v>8</v>
      </c>
      <c r="AC35" s="336">
        <f t="shared" si="7"/>
        <v>2</v>
      </c>
      <c r="AD35" s="337">
        <f t="shared" si="7"/>
        <v>5</v>
      </c>
      <c r="AE35" s="335">
        <f t="shared" si="7"/>
        <v>3</v>
      </c>
      <c r="AF35" s="336">
        <f t="shared" si="7"/>
        <v>0</v>
      </c>
      <c r="AG35" s="337">
        <f t="shared" si="7"/>
        <v>6</v>
      </c>
      <c r="AH35" s="335">
        <f t="shared" si="7"/>
        <v>6</v>
      </c>
      <c r="AI35" s="336">
        <f t="shared" si="7"/>
        <v>0</v>
      </c>
      <c r="AJ35" s="337">
        <f t="shared" si="7"/>
        <v>6</v>
      </c>
      <c r="AK35" s="338">
        <f>AB35+AE35+AH35</f>
        <v>17</v>
      </c>
      <c r="AL35" s="339">
        <f t="shared" si="3"/>
        <v>2</v>
      </c>
      <c r="AM35" s="340">
        <f t="shared" si="4"/>
        <v>17</v>
      </c>
    </row>
    <row r="36" spans="1:39" ht="18.75" x14ac:dyDescent="0.3">
      <c r="A36" s="1410" t="s">
        <v>482</v>
      </c>
      <c r="B36" s="1411"/>
      <c r="C36" s="1411"/>
      <c r="D36" s="1411"/>
      <c r="E36" s="1411"/>
      <c r="F36" s="1411"/>
      <c r="G36" s="1411"/>
      <c r="H36" s="1411"/>
      <c r="I36" s="1411"/>
      <c r="J36" s="1411"/>
      <c r="K36" s="1411"/>
      <c r="L36" s="1411"/>
      <c r="M36" s="1411"/>
      <c r="N36" s="1411"/>
      <c r="O36" s="1411"/>
      <c r="P36" s="1411"/>
      <c r="Q36" s="1411"/>
      <c r="R36" s="1411"/>
      <c r="S36" s="1411"/>
      <c r="T36" s="1411"/>
      <c r="U36" s="1411"/>
      <c r="V36" s="1411"/>
      <c r="W36" s="1412"/>
      <c r="X36" s="1367">
        <f>X35+Y35+Z35</f>
        <v>16</v>
      </c>
      <c r="Y36" s="1368"/>
      <c r="Z36" s="1369"/>
      <c r="AA36" s="329"/>
      <c r="AB36" s="1370" t="s">
        <v>482</v>
      </c>
      <c r="AC36" s="1371"/>
      <c r="AD36" s="1371"/>
      <c r="AE36" s="1371"/>
      <c r="AF36" s="1371"/>
      <c r="AG36" s="1371"/>
      <c r="AH36" s="1371"/>
      <c r="AI36" s="1371"/>
      <c r="AJ36" s="1372"/>
      <c r="AK36" s="1429">
        <f>AK35+AL35+AM35</f>
        <v>36</v>
      </c>
      <c r="AL36" s="1430"/>
      <c r="AM36" s="1431"/>
    </row>
    <row r="37" spans="1:39" ht="21" customHeight="1" x14ac:dyDescent="0.25">
      <c r="A37" s="1428" t="s">
        <v>507</v>
      </c>
      <c r="B37" s="1428"/>
      <c r="C37" s="1428"/>
      <c r="D37" s="1428"/>
      <c r="E37" s="1428"/>
      <c r="F37" s="1428"/>
      <c r="G37" s="1428"/>
      <c r="H37" s="1428"/>
      <c r="I37" s="1428"/>
      <c r="J37" s="1428"/>
      <c r="K37" s="1428"/>
      <c r="L37" s="1428"/>
      <c r="M37" s="1428"/>
      <c r="N37" s="1428"/>
      <c r="O37" s="1428"/>
      <c r="P37" s="1428"/>
      <c r="Q37" s="1428"/>
      <c r="R37" s="1428"/>
      <c r="S37" s="1428"/>
      <c r="T37" s="1428"/>
      <c r="U37" s="1428"/>
      <c r="V37" s="1428"/>
      <c r="W37" s="1428"/>
      <c r="X37" s="1428"/>
      <c r="Y37" s="1428"/>
      <c r="Z37" s="1428"/>
      <c r="AA37" s="1428"/>
      <c r="AB37" s="1428"/>
      <c r="AC37" s="1428"/>
      <c r="AD37" s="1428"/>
      <c r="AE37" s="1428"/>
      <c r="AF37" s="1428"/>
      <c r="AG37" s="1428"/>
      <c r="AH37" s="1428"/>
      <c r="AI37" s="1428"/>
      <c r="AJ37" s="1428"/>
      <c r="AK37" s="1428"/>
      <c r="AL37" s="1428"/>
      <c r="AM37" s="1428"/>
    </row>
    <row r="38" spans="1:39" ht="15" customHeight="1" x14ac:dyDescent="0.25">
      <c r="A38" s="299"/>
      <c r="B38" s="299"/>
      <c r="C38" s="1466" t="s">
        <v>28</v>
      </c>
      <c r="D38" s="1466"/>
      <c r="E38" s="1466"/>
      <c r="F38" s="1466"/>
      <c r="G38" s="1466"/>
      <c r="H38" s="1466"/>
      <c r="I38" s="1466"/>
      <c r="J38" s="1466"/>
      <c r="K38" s="1466"/>
      <c r="L38" s="1466"/>
      <c r="M38" s="1466"/>
      <c r="N38" s="1466"/>
      <c r="O38" s="1466"/>
      <c r="P38" s="1466"/>
      <c r="Q38" s="1466"/>
      <c r="R38" s="1466"/>
      <c r="S38" s="1466"/>
      <c r="T38" s="1466"/>
      <c r="U38" s="1466"/>
      <c r="V38" s="1466"/>
      <c r="W38" s="1466"/>
      <c r="X38" s="1466"/>
      <c r="Y38" s="1466"/>
      <c r="Z38" s="1466"/>
      <c r="AA38" s="299"/>
      <c r="AB38" s="1427" t="s">
        <v>463</v>
      </c>
      <c r="AC38" s="1427"/>
      <c r="AD38" s="1427"/>
      <c r="AE38" s="1427"/>
      <c r="AF38" s="1427"/>
      <c r="AG38" s="1427"/>
      <c r="AH38" s="1427"/>
      <c r="AI38" s="1427"/>
      <c r="AJ38" s="1427"/>
      <c r="AK38" s="1427"/>
      <c r="AL38" s="1427"/>
      <c r="AM38" s="1427"/>
    </row>
    <row r="39" spans="1:39" ht="39.950000000000003" customHeight="1" x14ac:dyDescent="0.25">
      <c r="A39" s="1363" t="s">
        <v>483</v>
      </c>
      <c r="B39" s="1364"/>
      <c r="C39" s="1378" t="s">
        <v>58</v>
      </c>
      <c r="D39" s="1379"/>
      <c r="E39" s="1379"/>
      <c r="F39" s="1378" t="s">
        <v>472</v>
      </c>
      <c r="G39" s="1379"/>
      <c r="H39" s="1379"/>
      <c r="I39" s="1378" t="s">
        <v>68</v>
      </c>
      <c r="J39" s="1379"/>
      <c r="K39" s="1379"/>
      <c r="L39" s="1378" t="s">
        <v>51</v>
      </c>
      <c r="M39" s="1379"/>
      <c r="N39" s="1379"/>
      <c r="O39" s="1378" t="s">
        <v>473</v>
      </c>
      <c r="P39" s="1379"/>
      <c r="Q39" s="1379"/>
      <c r="R39" s="1378" t="s">
        <v>464</v>
      </c>
      <c r="S39" s="1379"/>
      <c r="T39" s="1379"/>
      <c r="U39" s="1378" t="s">
        <v>465</v>
      </c>
      <c r="V39" s="1379"/>
      <c r="W39" s="1379"/>
      <c r="X39" s="1383" t="s">
        <v>466</v>
      </c>
      <c r="Y39" s="1384"/>
      <c r="Z39" s="1385"/>
      <c r="AA39" s="298"/>
      <c r="AB39" s="1390" t="s">
        <v>37</v>
      </c>
      <c r="AC39" s="1391"/>
      <c r="AD39" s="1391"/>
      <c r="AE39" s="1392" t="s">
        <v>467</v>
      </c>
      <c r="AF39" s="1376"/>
      <c r="AG39" s="1376"/>
      <c r="AH39" s="1392" t="s">
        <v>465</v>
      </c>
      <c r="AI39" s="1376"/>
      <c r="AJ39" s="1376"/>
      <c r="AK39" s="1458" t="s">
        <v>466</v>
      </c>
      <c r="AL39" s="1459"/>
      <c r="AM39" s="1459"/>
    </row>
    <row r="40" spans="1:39" ht="15" customHeight="1" x14ac:dyDescent="0.25">
      <c r="A40" s="1365"/>
      <c r="B40" s="1366"/>
      <c r="C40" s="322" t="s">
        <v>38</v>
      </c>
      <c r="D40" s="312" t="s">
        <v>45</v>
      </c>
      <c r="E40" s="370"/>
      <c r="F40" s="322" t="s">
        <v>38</v>
      </c>
      <c r="G40" s="312" t="s">
        <v>45</v>
      </c>
      <c r="H40" s="370"/>
      <c r="I40" s="322" t="s">
        <v>38</v>
      </c>
      <c r="J40" s="312" t="s">
        <v>45</v>
      </c>
      <c r="K40" s="373"/>
      <c r="L40" s="322" t="s">
        <v>38</v>
      </c>
      <c r="M40" s="312" t="s">
        <v>45</v>
      </c>
      <c r="N40" s="370"/>
      <c r="O40" s="322" t="s">
        <v>38</v>
      </c>
      <c r="P40" s="312" t="s">
        <v>45</v>
      </c>
      <c r="Q40" s="370"/>
      <c r="R40" s="322" t="s">
        <v>38</v>
      </c>
      <c r="S40" s="312" t="s">
        <v>45</v>
      </c>
      <c r="T40" s="373"/>
      <c r="U40" s="322" t="s">
        <v>38</v>
      </c>
      <c r="V40" s="312" t="s">
        <v>45</v>
      </c>
      <c r="W40" s="373"/>
      <c r="X40" s="325" t="s">
        <v>38</v>
      </c>
      <c r="Y40" s="351" t="s">
        <v>45</v>
      </c>
      <c r="Z40" s="373"/>
      <c r="AA40" s="311" t="s">
        <v>238</v>
      </c>
      <c r="AB40" s="301" t="s">
        <v>38</v>
      </c>
      <c r="AC40" s="314" t="s">
        <v>45</v>
      </c>
      <c r="AD40" s="370"/>
      <c r="AE40" s="320" t="s">
        <v>38</v>
      </c>
      <c r="AF40" s="314" t="s">
        <v>45</v>
      </c>
      <c r="AG40" s="373"/>
      <c r="AH40" s="320" t="s">
        <v>38</v>
      </c>
      <c r="AI40" s="314" t="s">
        <v>45</v>
      </c>
      <c r="AJ40" s="373"/>
      <c r="AK40" s="325" t="s">
        <v>38</v>
      </c>
      <c r="AL40" s="315" t="s">
        <v>45</v>
      </c>
      <c r="AM40" s="373"/>
    </row>
    <row r="41" spans="1:39" ht="15" customHeight="1" x14ac:dyDescent="0.25">
      <c r="A41" s="1381" t="s">
        <v>474</v>
      </c>
      <c r="B41" s="1382"/>
      <c r="C41" s="323"/>
      <c r="D41" s="307">
        <f>COUNTIFS('2DEMOGRAPHICS'!G13:G5000,"&gt;=0",'2DEMOGRAPHICS'!G13:G5000,"&lt;=12",'2DEMOGRAPHICS'!H13:H5000,"White",'2DEMOGRAPHICS'!K13:K5000,"Female",'2DEMOGRAPHICS'!L13:L5000,"YES")</f>
        <v>0</v>
      </c>
      <c r="E41" s="371"/>
      <c r="F41" s="324"/>
      <c r="G41" s="307">
        <f>COUNTIFS('2DEMOGRAPHICS'!G13:G5000,"&gt;=0",'2DEMOGRAPHICS'!G13:G5000,"&lt;=12",'2DEMOGRAPHICS'!H13:H5000,"African American /Black",'2DEMOGRAPHICS'!K13:K5000,"Female",'2DEMOGRAPHICS'!L13:L5000,"YES")</f>
        <v>0</v>
      </c>
      <c r="H41" s="371"/>
      <c r="I41" s="324"/>
      <c r="J41" s="307">
        <f>COUNTIFS('2DEMOGRAPHICS'!G13:G5000,"&gt;=0",'2DEMOGRAPHICS'!G13:G5000,"&lt;=12",'2DEMOGRAPHICS'!H13:H5000,"Native Hawaiian / Other Pacific Islander",'2DEMOGRAPHICS'!K13:K5000,"Female",'2DEMOGRAPHICS'!L13:L5000,"YES")</f>
        <v>0</v>
      </c>
      <c r="K41" s="371"/>
      <c r="L41" s="324"/>
      <c r="M41" s="307">
        <f>COUNTIFS('2DEMOGRAPHICS'!G13:G5000,"&gt;=0",'2DEMOGRAPHICS'!G13:G5000,"&lt;=12",'2DEMOGRAPHICS'!H13:H5000,"Asian",'2DEMOGRAPHICS'!K13:K5000,"Female",'2DEMOGRAPHICS'!L13:L5000,"YES")</f>
        <v>1</v>
      </c>
      <c r="N41" s="371"/>
      <c r="O41" s="324"/>
      <c r="P41" s="307">
        <f>COUNTIFS('2DEMOGRAPHICS'!G13:G5000,"&gt;=0",'2DEMOGRAPHICS'!G13:G5000,"&lt;=12",'2DEMOGRAPHICS'!H13:H5000,"American Indian / Alaska Native",'2DEMOGRAPHICS'!K13:K5000,"Female",'2DEMOGRAPHICS'!L13:L5000,"YES")</f>
        <v>0</v>
      </c>
      <c r="Q41" s="371"/>
      <c r="R41" s="324"/>
      <c r="S41" s="307">
        <f>COUNTIFS('2DEMOGRAPHICS'!G13:G5000,"&gt;=0",'2DEMOGRAPHICS'!G13:G5000,"&lt;=12",'2DEMOGRAPHICS'!H13:H5000,"More than one race reported",'2DEMOGRAPHICS'!K13:K5000,"Female",'2DEMOGRAPHICS'!L13:L5000,"YES")</f>
        <v>0</v>
      </c>
      <c r="T41" s="371"/>
      <c r="U41" s="324"/>
      <c r="V41" s="307">
        <f>COUNTIFS('2DEMOGRAPHICS'!G13:G5000,"&gt;=0",'2DEMOGRAPHICS'!G13:G5000,"&lt;=12",'2DEMOGRAPHICS'!H13:H5000,"Unknown",'2DEMOGRAPHICS'!K13:K5000,"Female",'2DEMOGRAPHICS'!L13:L5000,"YES")</f>
        <v>0</v>
      </c>
      <c r="W41" s="371"/>
      <c r="X41" s="324">
        <f>C41+F41+I41+L41+O41+R41+U41</f>
        <v>0</v>
      </c>
      <c r="Y41" s="349">
        <f>D41+G41+J41+M41+P41+S41+V41</f>
        <v>1</v>
      </c>
      <c r="Z41" s="378"/>
      <c r="AA41" s="310" t="s">
        <v>474</v>
      </c>
      <c r="AB41" s="302"/>
      <c r="AC41" s="300">
        <f>COUNTIFS('2DEMOGRAPHICS'!G13:G5000,"&gt;=0",'2DEMOGRAPHICS'!G13:G5000,"&lt;=12",'2DEMOGRAPHICS'!I13:I5000,"Not Hispanic or Latino",'2DEMOGRAPHICS'!K13:K5000,"Female",'2DEMOGRAPHICS'!L13:L5000,"YES")</f>
        <v>2</v>
      </c>
      <c r="AD41" s="375"/>
      <c r="AE41" s="308"/>
      <c r="AF41" s="300">
        <f>COUNTIFS('2DEMOGRAPHICS'!G13:G5000,"&gt;=0",'2DEMOGRAPHICS'!G13:G5000,"&lt;=12",'2DEMOGRAPHICS'!I13:I5000,"Hispanic-Latino ",'2DEMOGRAPHICS'!K13:K5000,"Female",'2DEMOGRAPHICS'!L13:L5000,"YES")</f>
        <v>0</v>
      </c>
      <c r="AG41" s="375"/>
      <c r="AH41" s="308"/>
      <c r="AI41" s="300">
        <f>COUNTIFS('2DEMOGRAPHICS'!G13:G5000,"&gt;=0",'2DEMOGRAPHICS'!G13:G5000,"&lt;=12",'2DEMOGRAPHICS'!I13:I5000,"Unknown",'2DEMOGRAPHICS'!K13:K5000,"Female",'2DEMOGRAPHICS'!L13:L5000,"YES")</f>
        <v>0</v>
      </c>
      <c r="AJ41" s="375"/>
      <c r="AK41" s="333"/>
      <c r="AL41" s="332">
        <f t="shared" ref="AL41:AL51" si="8">AC41+AF41+AI41</f>
        <v>2</v>
      </c>
      <c r="AM41" s="376"/>
    </row>
    <row r="42" spans="1:39" ht="15" customHeight="1" x14ac:dyDescent="0.25">
      <c r="A42" s="1381" t="s">
        <v>468</v>
      </c>
      <c r="B42" s="1382"/>
      <c r="C42" s="323"/>
      <c r="D42" s="307">
        <f>COUNTIFS('2DEMOGRAPHICS'!G13:G5000,"&gt;=13",'2DEMOGRAPHICS'!G13:G5000,"&lt;=17",'2DEMOGRAPHICS'!H13:H5000,"White",'2DEMOGRAPHICS'!K13:K5000,"Female",'2DEMOGRAPHICS'!L13:L5000,"YES")</f>
        <v>0</v>
      </c>
      <c r="E42" s="371"/>
      <c r="F42" s="324"/>
      <c r="G42" s="307">
        <f>COUNTIFS('2DEMOGRAPHICS'!G13:G5000,"&gt;=13",'2DEMOGRAPHICS'!G13:G5000,"&lt;=17",'2DEMOGRAPHICS'!H13:H5000,"African American /Black",'2DEMOGRAPHICS'!K13:K5000,"Female",'2DEMOGRAPHICS'!L13:L5000,"YES")</f>
        <v>0</v>
      </c>
      <c r="H42" s="371"/>
      <c r="I42" s="324"/>
      <c r="J42" s="307">
        <f>COUNTIFS('2DEMOGRAPHICS'!G13:G5000,"&gt;=13",'2DEMOGRAPHICS'!G13:G5000,"&lt;=17",'2DEMOGRAPHICS'!H13:H5000,"Native Hawaiian / Other Pacific Islander",'2DEMOGRAPHICS'!K13:K5000,"Female",'2DEMOGRAPHICS'!L13:L5000,"YES")</f>
        <v>0</v>
      </c>
      <c r="K42" s="371"/>
      <c r="L42" s="324"/>
      <c r="M42" s="307">
        <f>COUNTIFS('2DEMOGRAPHICS'!G13:G5000,"&gt;=13",'2DEMOGRAPHICS'!G13:G5000,"&lt;=17",'2DEMOGRAPHICS'!H13:H5000,"Asian",'2DEMOGRAPHICS'!K13:K5000,"Female",'2DEMOGRAPHICS'!L13:L5000,"YES")</f>
        <v>0</v>
      </c>
      <c r="N42" s="371"/>
      <c r="O42" s="324"/>
      <c r="P42" s="307">
        <f>COUNTIFS('2DEMOGRAPHICS'!G13:G5000,"&gt;=13",'2DEMOGRAPHICS'!G13:G5000,"&lt;=17",'2DEMOGRAPHICS'!H13:H5000,"American Indian / Alaska Native",'2DEMOGRAPHICS'!K13:K5000,"Female",'2DEMOGRAPHICS'!L13:L5000,"YES")</f>
        <v>0</v>
      </c>
      <c r="Q42" s="371"/>
      <c r="R42" s="324"/>
      <c r="S42" s="307">
        <f>COUNTIFS('2DEMOGRAPHICS'!G13:G5000,"&gt;=13",'2DEMOGRAPHICS'!G13:G5000,"&lt;=17",'2DEMOGRAPHICS'!H13:H5000,"More than one race reported",'2DEMOGRAPHICS'!K13:K5000,"Female",'2DEMOGRAPHICS'!L13:L5000,"YES")</f>
        <v>0</v>
      </c>
      <c r="T42" s="371"/>
      <c r="U42" s="324"/>
      <c r="V42" s="307">
        <f>COUNTIFS('2DEMOGRAPHICS'!G13:G5000,"&gt;=13",'2DEMOGRAPHICS'!G13:G5000,"&lt;=17",'2DEMOGRAPHICS'!H13:H5000,"Unknown",'2DEMOGRAPHICS'!K13:K5000,"Female",'2DEMOGRAPHICS'!L13:L5000,"YES")</f>
        <v>0</v>
      </c>
      <c r="W42" s="371"/>
      <c r="X42" s="324">
        <f t="shared" ref="X42:X51" si="9">C42+F42+I42+L42+O42+R42+U42</f>
        <v>0</v>
      </c>
      <c r="Y42" s="349">
        <f>D42+G42+J42+M42+P42+S42+V42</f>
        <v>0</v>
      </c>
      <c r="Z42" s="378"/>
      <c r="AA42" s="310" t="s">
        <v>468</v>
      </c>
      <c r="AB42" s="302"/>
      <c r="AC42" s="300">
        <f>COUNTIFS('2DEMOGRAPHICS'!G13:G5000,"&gt;=13",'2DEMOGRAPHICS'!G13:G5000,"&lt;=17",'2DEMOGRAPHICS'!I13:I5000,"Not Hispanic or Latino",'2DEMOGRAPHICS'!K13:K5000,"Female",'2DEMOGRAPHICS'!L13:L5000,"YES")</f>
        <v>0</v>
      </c>
      <c r="AD42" s="375"/>
      <c r="AE42" s="308"/>
      <c r="AF42" s="300">
        <f>COUNTIFS('2DEMOGRAPHICS'!G13:G5000,"&gt;=13",'2DEMOGRAPHICS'!G13:G5000,"&lt;=17",'2DEMOGRAPHICS'!I13:I5000,"Hispanic-Latino ",'2DEMOGRAPHICS'!K13:K5000,"Female",'2DEMOGRAPHICS'!L13:L5000,"YES")</f>
        <v>2</v>
      </c>
      <c r="AG42" s="375"/>
      <c r="AH42" s="308"/>
      <c r="AI42" s="300">
        <f>COUNTIFS('2DEMOGRAPHICS'!G13:G5000,"&gt;=13",'2DEMOGRAPHICS'!G13:G5000,"&lt;=17",'2DEMOGRAPHICS'!I13:I5000,"Unknown",'2DEMOGRAPHICS'!K13:K5000,"Female",'2DEMOGRAPHICS'!L13:L5000,"YES")</f>
        <v>0</v>
      </c>
      <c r="AJ42" s="375"/>
      <c r="AK42" s="333"/>
      <c r="AL42" s="332">
        <f t="shared" si="8"/>
        <v>2</v>
      </c>
      <c r="AM42" s="376"/>
    </row>
    <row r="43" spans="1:39" ht="15" customHeight="1" x14ac:dyDescent="0.25">
      <c r="A43" s="1381" t="s">
        <v>469</v>
      </c>
      <c r="B43" s="1382"/>
      <c r="C43" s="323"/>
      <c r="D43" s="307">
        <f>COUNTIFS('2DEMOGRAPHICS'!G13:G5000,"&gt;=18",'2DEMOGRAPHICS'!G13:G5000,"&lt;=20",'2DEMOGRAPHICS'!H13:H5000,"White",'2DEMOGRAPHICS'!K13:K5000,"Female",'2DEMOGRAPHICS'!L13:L5000,"YES")</f>
        <v>0</v>
      </c>
      <c r="E43" s="371"/>
      <c r="F43" s="324"/>
      <c r="G43" s="307">
        <f>COUNTIFS('2DEMOGRAPHICS'!G13:G5000,"&gt;=18",'2DEMOGRAPHICS'!G13:G5000,"&lt;=20",'2DEMOGRAPHICS'!H13:H5000,"African American /Black",'2DEMOGRAPHICS'!K13:K5000,"Female",'2DEMOGRAPHICS'!L13:L5000,"YES")</f>
        <v>0</v>
      </c>
      <c r="H43" s="371"/>
      <c r="I43" s="324"/>
      <c r="J43" s="307">
        <f>COUNTIFS('2DEMOGRAPHICS'!G13:G5000,"&gt;=18",'2DEMOGRAPHICS'!G13:G5000,"&lt;=20",'2DEMOGRAPHICS'!H13:H5000,"Native Hawaiian / Other Pacific Islander",'2DEMOGRAPHICS'!K13:K5000,"Female",'2DEMOGRAPHICS'!L13:L5000,"YES")</f>
        <v>0</v>
      </c>
      <c r="K43" s="371"/>
      <c r="L43" s="324"/>
      <c r="M43" s="307">
        <f>COUNTIFS('2DEMOGRAPHICS'!G13:G5000,"&gt;=18",'2DEMOGRAPHICS'!G13:G5000,"&lt;=20",'2DEMOGRAPHICS'!H13:H5000,"Asian",'2DEMOGRAPHICS'!K13:K5000,"Female",'2DEMOGRAPHICS'!L13:L5000,"YES")</f>
        <v>0</v>
      </c>
      <c r="N43" s="371"/>
      <c r="O43" s="324"/>
      <c r="P43" s="307">
        <f>COUNTIFS('2DEMOGRAPHICS'!G13:G5000,"&gt;=18",'2DEMOGRAPHICS'!G13:G5000,"&lt;=20",'2DEMOGRAPHICS'!H13:H5000,"American Indian / Alaska Native",'2DEMOGRAPHICS'!K13:K5000,"Female",'2DEMOGRAPHICS'!L13:L5000,"YES")</f>
        <v>0</v>
      </c>
      <c r="Q43" s="371"/>
      <c r="R43" s="324"/>
      <c r="S43" s="307">
        <f>COUNTIFS('2DEMOGRAPHICS'!G13:G5000,"&gt;=18",'2DEMOGRAPHICS'!G13:G5000,"&lt;=20",'2DEMOGRAPHICS'!H13:H5000,"More than one race reported",'2DEMOGRAPHICS'!K13:K5000,"Female",'2DEMOGRAPHICS'!L13:L5000,"YES")</f>
        <v>0</v>
      </c>
      <c r="T43" s="371"/>
      <c r="U43" s="324"/>
      <c r="V43" s="307">
        <f>COUNTIFS('2DEMOGRAPHICS'!G13:G5000,"&gt;=18",'2DEMOGRAPHICS'!G13:G5000,"&lt;=20",'2DEMOGRAPHICS'!H13:H5000,"Unknown",'2DEMOGRAPHICS'!K13:K5000,"Female",'2DEMOGRAPHICS'!L13:L5000,"YES")</f>
        <v>0</v>
      </c>
      <c r="W43" s="371"/>
      <c r="X43" s="324">
        <f t="shared" si="9"/>
        <v>0</v>
      </c>
      <c r="Y43" s="349">
        <f t="shared" ref="Y43:Y51" si="10">D43+G43+J43+M43+P43+S43+V43</f>
        <v>0</v>
      </c>
      <c r="Z43" s="378"/>
      <c r="AA43" s="310" t="s">
        <v>469</v>
      </c>
      <c r="AB43" s="302"/>
      <c r="AC43" s="300">
        <f>COUNTIFS('2DEMOGRAPHICS'!G13:G5000,"&gt;=18",'2DEMOGRAPHICS'!G13:G5000,"&lt;=20",'2DEMOGRAPHICS'!I13:I5000,"Not Hispanic or Latino",'2DEMOGRAPHICS'!K13:K5000,"Female",'2DEMOGRAPHICS'!L13:L5000,"YES")</f>
        <v>0</v>
      </c>
      <c r="AD43" s="375"/>
      <c r="AE43" s="308"/>
      <c r="AF43" s="300">
        <f>COUNTIFS('2DEMOGRAPHICS'!G13:G5000,"&gt;=18",'2DEMOGRAPHICS'!G13:G5000,"&lt;=20",'2DEMOGRAPHICS'!I13:I5000,"Hispanic-Latino ",'2DEMOGRAPHICS'!K13:K5000,"Female",'2DEMOGRAPHICS'!L13:L5000,"YES")</f>
        <v>0</v>
      </c>
      <c r="AG43" s="375"/>
      <c r="AH43" s="308"/>
      <c r="AI43" s="300">
        <f>COUNTIFS('2DEMOGRAPHICS'!G13:G5000,"&gt;=18",'2DEMOGRAPHICS'!G13:G5000,"&lt;=20",'2DEMOGRAPHICS'!I13:I5000,"Unknown",'2DEMOGRAPHICS'!K13:K5000,"Female",'2DEMOGRAPHICS'!L13:L5000,"YES")</f>
        <v>1</v>
      </c>
      <c r="AJ43" s="375"/>
      <c r="AK43" s="333"/>
      <c r="AL43" s="332">
        <f t="shared" si="8"/>
        <v>1</v>
      </c>
      <c r="AM43" s="376"/>
    </row>
    <row r="44" spans="1:39" ht="15" customHeight="1" x14ac:dyDescent="0.25">
      <c r="A44" s="1381" t="s">
        <v>470</v>
      </c>
      <c r="B44" s="1382"/>
      <c r="C44" s="323"/>
      <c r="D44" s="307">
        <f>COUNTIFS('2DEMOGRAPHICS'!G13:G5000,"&gt;=21",'2DEMOGRAPHICS'!G13:G5000,"&lt;=24",'2DEMOGRAPHICS'!H13:H5000,"White",'2DEMOGRAPHICS'!K13:K5000,"Female",'2DEMOGRAPHICS'!L13:L5000,"YES")</f>
        <v>0</v>
      </c>
      <c r="E44" s="371"/>
      <c r="F44" s="324"/>
      <c r="G44" s="307">
        <f>COUNTIFS('2DEMOGRAPHICS'!G13:G5000,"&gt;=21",'2DEMOGRAPHICS'!G13:G5000,"&lt;=24",'2DEMOGRAPHICS'!H13:H5000,"African American /Black",'2DEMOGRAPHICS'!K13:K5000,"Female",'2DEMOGRAPHICS'!L13:L5000,"YES")</f>
        <v>0</v>
      </c>
      <c r="H44" s="371"/>
      <c r="I44" s="324"/>
      <c r="J44" s="307">
        <f>COUNTIFS('2DEMOGRAPHICS'!G13:G5000,"&gt;=21",'2DEMOGRAPHICS'!G13:G5000,"&lt;=24",'2DEMOGRAPHICS'!H13:H5000,"Native Hawaiian / Other Pacific Islander",'2DEMOGRAPHICS'!K13:K5000,"Female",'2DEMOGRAPHICS'!L13:L5000,"YES")</f>
        <v>0</v>
      </c>
      <c r="K44" s="371"/>
      <c r="L44" s="324"/>
      <c r="M44" s="307">
        <f>COUNTIFS('2DEMOGRAPHICS'!G13:G5000,"&gt;=21",'2DEMOGRAPHICS'!G13:G5000,"&lt;=24",'2DEMOGRAPHICS'!H13:H5000,"Asian",'2DEMOGRAPHICS'!K13:K5000,"Female",'2DEMOGRAPHICS'!L13:L5000,"YES")</f>
        <v>0</v>
      </c>
      <c r="N44" s="371"/>
      <c r="O44" s="324"/>
      <c r="P44" s="307">
        <f>COUNTIFS('2DEMOGRAPHICS'!G13:G5000,"&gt;=21",'2DEMOGRAPHICS'!G13:G5000,"&lt;=24",'2DEMOGRAPHICS'!H13:H5000,"American Indian / Alaska Native",'2DEMOGRAPHICS'!K13:K5000,"Female",'2DEMOGRAPHICS'!L13:L5000,"YES")</f>
        <v>0</v>
      </c>
      <c r="Q44" s="371"/>
      <c r="R44" s="324"/>
      <c r="S44" s="307">
        <f>COUNTIFS('2DEMOGRAPHICS'!G13:G5000,"&gt;=21",'2DEMOGRAPHICS'!G13:G5000,"&lt;=24",'2DEMOGRAPHICS'!H13:H5000,"More than one race reported",'2DEMOGRAPHICS'!K13:K5000,"Female",'2DEMOGRAPHICS'!L13:L5000,"YES")</f>
        <v>0</v>
      </c>
      <c r="T44" s="371"/>
      <c r="U44" s="324"/>
      <c r="V44" s="307">
        <f>COUNTIFS('2DEMOGRAPHICS'!G13:G5000,"&gt;=21",'2DEMOGRAPHICS'!G13:G5000,"&lt;=24",'2DEMOGRAPHICS'!H13:H5000,"Unknown",'2DEMOGRAPHICS'!K13:K5000,"Female",'2DEMOGRAPHICS'!L13:L5000,"YES")</f>
        <v>0</v>
      </c>
      <c r="W44" s="371"/>
      <c r="X44" s="324">
        <f t="shared" si="9"/>
        <v>0</v>
      </c>
      <c r="Y44" s="349">
        <f t="shared" si="10"/>
        <v>0</v>
      </c>
      <c r="Z44" s="378"/>
      <c r="AA44" s="310" t="s">
        <v>470</v>
      </c>
      <c r="AB44" s="302"/>
      <c r="AC44" s="300">
        <f>COUNTIFS('2DEMOGRAPHICS'!G13:G5000,"&gt;=21",'2DEMOGRAPHICS'!G13:G5000,"&lt;=24",'2DEMOGRAPHICS'!I13:I5000,"Not Hispanic or Latino",'2DEMOGRAPHICS'!K13:K5000,"Female",'2DEMOGRAPHICS'!L13:L5000,"YES")</f>
        <v>1</v>
      </c>
      <c r="AD44" s="375"/>
      <c r="AE44" s="308"/>
      <c r="AF44" s="300">
        <f>COUNTIFS('2DEMOGRAPHICS'!G13:G5000,"&gt;=21",'2DEMOGRAPHICS'!G13:G5000,"&lt;=24",'2DEMOGRAPHICS'!I13:I5000,"Hispanic-Latino ",'2DEMOGRAPHICS'!K13:K5000,"Female",'2DEMOGRAPHICS'!L13:L5000,"YES")</f>
        <v>0</v>
      </c>
      <c r="AG44" s="375"/>
      <c r="AH44" s="308"/>
      <c r="AI44" s="300">
        <f>COUNTIFS('2DEMOGRAPHICS'!G13:G5000,"&gt;=21",'2DEMOGRAPHICS'!G13:G5000,"&lt;=24",'2DEMOGRAPHICS'!I13:I5000,"Unknown",'2DEMOGRAPHICS'!K13:K5000,"Female",'2DEMOGRAPHICS'!L13:L5000,"YES")</f>
        <v>0</v>
      </c>
      <c r="AJ44" s="375"/>
      <c r="AK44" s="333"/>
      <c r="AL44" s="332">
        <f t="shared" si="8"/>
        <v>1</v>
      </c>
      <c r="AM44" s="376"/>
    </row>
    <row r="45" spans="1:39" ht="15" customHeight="1" x14ac:dyDescent="0.25">
      <c r="A45" s="1381" t="s">
        <v>476</v>
      </c>
      <c r="B45" s="1382"/>
      <c r="C45" s="323"/>
      <c r="D45" s="307">
        <f>COUNTIFS('2DEMOGRAPHICS'!G13:G5000,"&gt;=25",'2DEMOGRAPHICS'!G13:G5000,"&lt;=34",'2DEMOGRAPHICS'!H13:H5000,"White",'2DEMOGRAPHICS'!K13:K5000,"Female",'2DEMOGRAPHICS'!L13:L5000,"YES")</f>
        <v>0</v>
      </c>
      <c r="E45" s="371"/>
      <c r="F45" s="324"/>
      <c r="G45" s="307">
        <f>COUNTIFS('2DEMOGRAPHICS'!G13:G5000,"&gt;=25",'2DEMOGRAPHICS'!G13:G5000,"&lt;=34",'2DEMOGRAPHICS'!H13:H5000,"African American /Black",'2DEMOGRAPHICS'!K13:K5000,"Female",'2DEMOGRAPHICS'!L13:L5000,"YES")</f>
        <v>0</v>
      </c>
      <c r="H45" s="371"/>
      <c r="I45" s="324"/>
      <c r="J45" s="307">
        <f>COUNTIFS('2DEMOGRAPHICS'!G13:G5000,"&gt;=25",'2DEMOGRAPHICS'!G13:G5000,"&lt;=34",'2DEMOGRAPHICS'!H13:H5000,"Native Hawaiian / Other Pacific Islander",'2DEMOGRAPHICS'!K13:K5000,"Female",'2DEMOGRAPHICS'!L13:L5000,"YES")</f>
        <v>1</v>
      </c>
      <c r="K45" s="371"/>
      <c r="L45" s="324"/>
      <c r="M45" s="307">
        <f>COUNTIFS('2DEMOGRAPHICS'!G13:G5000,"&gt;=25",'2DEMOGRAPHICS'!G13:G5000,"&lt;=34",'2DEMOGRAPHICS'!H13:H5000,"Asian",'2DEMOGRAPHICS'!K13:K5000,"Female",'2DEMOGRAPHICS'!L13:L5000,"YES")</f>
        <v>0</v>
      </c>
      <c r="N45" s="371"/>
      <c r="O45" s="324"/>
      <c r="P45" s="307">
        <f>COUNTIFS('2DEMOGRAPHICS'!G13:G5000,"&gt;=25",'2DEMOGRAPHICS'!G13:G5000,"&lt;=34",'2DEMOGRAPHICS'!H13:H5000,"American Indian / Alaska Native",'2DEMOGRAPHICS'!K13:K5000,"Female",'2DEMOGRAPHICS'!L13:L5000,"YES")</f>
        <v>0</v>
      </c>
      <c r="Q45" s="371"/>
      <c r="R45" s="324"/>
      <c r="S45" s="307">
        <f>COUNTIFS('2DEMOGRAPHICS'!G13:G5000,"&gt;=25",'2DEMOGRAPHICS'!G13:G5000,"&lt;=34",'2DEMOGRAPHICS'!H13:H5000,"More than one race reported",'2DEMOGRAPHICS'!K13:K5000,"Female",'2DEMOGRAPHICS'!L13:L5000,"YES")</f>
        <v>0</v>
      </c>
      <c r="T45" s="371"/>
      <c r="U45" s="324"/>
      <c r="V45" s="307">
        <f>COUNTIFS('2DEMOGRAPHICS'!G13:G5000,"&gt;=25",'2DEMOGRAPHICS'!G13:G5000,"&lt;=34",'2DEMOGRAPHICS'!H13:H5000,"Unknown",'2DEMOGRAPHICS'!K13:K5000,"Female",'2DEMOGRAPHICS'!L13:L5000,"YES")</f>
        <v>0</v>
      </c>
      <c r="W45" s="371"/>
      <c r="X45" s="324">
        <f t="shared" si="9"/>
        <v>0</v>
      </c>
      <c r="Y45" s="349">
        <f t="shared" si="10"/>
        <v>1</v>
      </c>
      <c r="Z45" s="378"/>
      <c r="AA45" s="310" t="s">
        <v>476</v>
      </c>
      <c r="AB45" s="302"/>
      <c r="AC45" s="300">
        <f>COUNTIFS('2DEMOGRAPHICS'!G13:G5000,"&gt;=25",'2DEMOGRAPHICS'!G13:G5000,"&lt;=34",'2DEMOGRAPHICS'!I13:I5000,"Not Hispanic or Latino",'2DEMOGRAPHICS'!K13:K5000,"Female",'2DEMOGRAPHICS'!L13:L5000,"YES")</f>
        <v>0</v>
      </c>
      <c r="AD45" s="375"/>
      <c r="AE45" s="308"/>
      <c r="AF45" s="300">
        <f>COUNTIFS('2DEMOGRAPHICS'!G13:G5000,"&gt;=25",'2DEMOGRAPHICS'!G13:G5000,"&lt;=34",'2DEMOGRAPHICS'!I13:I5000,"Hispanic-Latino ",'2DEMOGRAPHICS'!K13:K5000,"Female",'2DEMOGRAPHICS'!L13:L5000,"YES")</f>
        <v>2</v>
      </c>
      <c r="AG45" s="375"/>
      <c r="AH45" s="308"/>
      <c r="AI45" s="300">
        <f>COUNTIFS('2DEMOGRAPHICS'!G13:G5000,"&gt;=25",'2DEMOGRAPHICS'!G13:G5000,"&lt;=34",'2DEMOGRAPHICS'!I13:I5000,"Unknown",'2DEMOGRAPHICS'!K13:K5000,"Female",'2DEMOGRAPHICS'!L13:L5000,"YES")</f>
        <v>0</v>
      </c>
      <c r="AJ45" s="375"/>
      <c r="AK45" s="333"/>
      <c r="AL45" s="332">
        <f t="shared" si="8"/>
        <v>2</v>
      </c>
      <c r="AM45" s="376"/>
    </row>
    <row r="46" spans="1:39" ht="15" customHeight="1" x14ac:dyDescent="0.25">
      <c r="A46" s="1381" t="s">
        <v>477</v>
      </c>
      <c r="B46" s="1382"/>
      <c r="C46" s="323"/>
      <c r="D46" s="307">
        <f>COUNTIFS('2DEMOGRAPHICS'!G13:G5000,"&gt;=35",'2DEMOGRAPHICS'!G13:G5000,"&lt;=44",'2DEMOGRAPHICS'!H13:H5000,"White",'2DEMOGRAPHICS'!K13:K5000,"Female",'2DEMOGRAPHICS'!L13:L5000,"YES")</f>
        <v>0</v>
      </c>
      <c r="E46" s="371"/>
      <c r="F46" s="324"/>
      <c r="G46" s="307">
        <f>COUNTIFS('2DEMOGRAPHICS'!G13:G5000,"&gt;=35",'2DEMOGRAPHICS'!G13:G5000,"&lt;=44",'2DEMOGRAPHICS'!H13:H5000,"African American /Black",'2DEMOGRAPHICS'!K13:K5000,"Female",'2DEMOGRAPHICS'!L13:L5000,"YES")</f>
        <v>0</v>
      </c>
      <c r="H46" s="371"/>
      <c r="I46" s="324"/>
      <c r="J46" s="307">
        <f>COUNTIFS('2DEMOGRAPHICS'!G13:G5000,"&gt;=35",'2DEMOGRAPHICS'!G13:G5000,"&lt;=44",'2DEMOGRAPHICS'!H13:H5000,"Native Hawaiian / Other Pacific Islander",'2DEMOGRAPHICS'!K13:K5000,"Female",'2DEMOGRAPHICS'!L13:L5000,"YES")</f>
        <v>1</v>
      </c>
      <c r="K46" s="371"/>
      <c r="L46" s="324"/>
      <c r="M46" s="307">
        <f>COUNTIFS('2DEMOGRAPHICS'!G13:G5000,"&gt;=35",'2DEMOGRAPHICS'!G13:G5000,"&lt;=44",'2DEMOGRAPHICS'!H13:H5000,"Asian",'2DEMOGRAPHICS'!K13:K5000,"Female",'2DEMOGRAPHICS'!L13:L5000,"YES")</f>
        <v>0</v>
      </c>
      <c r="N46" s="371"/>
      <c r="O46" s="324"/>
      <c r="P46" s="307">
        <f>COUNTIFS('2DEMOGRAPHICS'!G13:G5000,"&gt;=35",'2DEMOGRAPHICS'!G13:G5000,"&lt;=44",'2DEMOGRAPHICS'!H13:H5000,"American Indian / Alaska Native",'2DEMOGRAPHICS'!K13:K5000,"Female",'2DEMOGRAPHICS'!L13:L5000,"YES")</f>
        <v>0</v>
      </c>
      <c r="Q46" s="371"/>
      <c r="R46" s="324"/>
      <c r="S46" s="307">
        <f>COUNTIFS('2DEMOGRAPHICS'!G13:G5000,"&gt;=35",'2DEMOGRAPHICS'!G13:G5000,"&lt;=44",'2DEMOGRAPHICS'!H13:H5000,"More than one race reported",'2DEMOGRAPHICS'!K13:K5000,"Female",'2DEMOGRAPHICS'!L13:L5000,"YES")</f>
        <v>0</v>
      </c>
      <c r="T46" s="371"/>
      <c r="U46" s="324"/>
      <c r="V46" s="307">
        <f>COUNTIFS('2DEMOGRAPHICS'!G13:G5000,"&gt;=35",'2DEMOGRAPHICS'!G13:G5000,"&lt;=44",'2DEMOGRAPHICS'!H13:H5000,"Unknown",'2DEMOGRAPHICS'!K13:K5000,"Female",'2DEMOGRAPHICS'!L13:L5000,"YES")</f>
        <v>0</v>
      </c>
      <c r="W46" s="371"/>
      <c r="X46" s="324">
        <f t="shared" si="9"/>
        <v>0</v>
      </c>
      <c r="Y46" s="349">
        <f t="shared" si="10"/>
        <v>1</v>
      </c>
      <c r="Z46" s="378"/>
      <c r="AA46" s="310" t="s">
        <v>477</v>
      </c>
      <c r="AB46" s="302"/>
      <c r="AC46" s="300">
        <f>COUNTIFS('2DEMOGRAPHICS'!G13:G5000,"&gt;=35",'2DEMOGRAPHICS'!G13:G5000,"&lt;=44",'2DEMOGRAPHICS'!I13:I5000,"Not Hispanic or Latino",'2DEMOGRAPHICS'!K13:K5000,"Female",'2DEMOGRAPHICS'!L13:L5000,"YES")</f>
        <v>0</v>
      </c>
      <c r="AD46" s="375"/>
      <c r="AE46" s="308"/>
      <c r="AF46" s="300">
        <f>COUNTIFS('2DEMOGRAPHICS'!G13:G5000,"&gt;=35",'2DEMOGRAPHICS'!G13:G5000,"&lt;=44",'2DEMOGRAPHICS'!I13:I5000,"Hispanic-Latino ",'2DEMOGRAPHICS'!K13:K5000,"Female",'2DEMOGRAPHICS'!L13:L5000,"YES")</f>
        <v>0</v>
      </c>
      <c r="AG46" s="375"/>
      <c r="AH46" s="308"/>
      <c r="AI46" s="300">
        <f>COUNTIFS('2DEMOGRAPHICS'!G13:G5000,"&gt;=35",'2DEMOGRAPHICS'!G13:G5000,"&lt;=44",'2DEMOGRAPHICS'!I13:I5000,"Unknown",'2DEMOGRAPHICS'!K13:K5000,"Female",'2DEMOGRAPHICS'!L13:L5000,"YES")</f>
        <v>1</v>
      </c>
      <c r="AJ46" s="375"/>
      <c r="AK46" s="333"/>
      <c r="AL46" s="332">
        <f t="shared" si="8"/>
        <v>1</v>
      </c>
      <c r="AM46" s="376"/>
    </row>
    <row r="47" spans="1:39" ht="15" customHeight="1" x14ac:dyDescent="0.25">
      <c r="A47" s="1381" t="s">
        <v>478</v>
      </c>
      <c r="B47" s="1382"/>
      <c r="C47" s="323"/>
      <c r="D47" s="307">
        <f>COUNTIFS('2DEMOGRAPHICS'!G13:G5000,"&gt;=45",'2DEMOGRAPHICS'!G13:G5000,"&lt;=54",'2DEMOGRAPHICS'!H13:H5000,"White",'2DEMOGRAPHICS'!K13:K5000,"Female",'2DEMOGRAPHICS'!L13:L5000,"YES")</f>
        <v>0</v>
      </c>
      <c r="E47" s="371"/>
      <c r="F47" s="324"/>
      <c r="G47" s="307">
        <f>COUNTIFS('2DEMOGRAPHICS'!G13:G5000,"&gt;=45",'2DEMOGRAPHICS'!G13:G5000,"&lt;=54",'2DEMOGRAPHICS'!H13:H5000,"African American /Black",'2DEMOGRAPHICS'!K13:K5000,"Female",'2DEMOGRAPHICS'!L13:L5000,"YES")</f>
        <v>0</v>
      </c>
      <c r="H47" s="371"/>
      <c r="I47" s="324"/>
      <c r="J47" s="307">
        <f>COUNTIFS('2DEMOGRAPHICS'!G13:G5000,"&gt;=45",'2DEMOGRAPHICS'!G13:G5000,"&lt;=54",'2DEMOGRAPHICS'!H13:H5000,"Native Hawaiian / Other Pacific Islander",'2DEMOGRAPHICS'!K13:K5000,"Female",'2DEMOGRAPHICS'!L13:L5000,"YES")</f>
        <v>1</v>
      </c>
      <c r="K47" s="371"/>
      <c r="L47" s="324"/>
      <c r="M47" s="307">
        <f>COUNTIFS('2DEMOGRAPHICS'!G13:G5000,"&gt;=45",'2DEMOGRAPHICS'!G13:G5000,"&lt;=54",'2DEMOGRAPHICS'!H13:H5000,"Asian",'2DEMOGRAPHICS'!K13:K5000,"Female",'2DEMOGRAPHICS'!L13:L5000,"YES")</f>
        <v>0</v>
      </c>
      <c r="N47" s="371"/>
      <c r="O47" s="324"/>
      <c r="P47" s="307">
        <f>COUNTIFS('2DEMOGRAPHICS'!G13:G5000,"&gt;=45",'2DEMOGRAPHICS'!G13:G5000,"&lt;=54",'2DEMOGRAPHICS'!H13:H5000,"American Indian / Alaska Native",'2DEMOGRAPHICS'!K13:K5000,"Female",'2DEMOGRAPHICS'!L13:L5000,"YES")</f>
        <v>0</v>
      </c>
      <c r="Q47" s="371"/>
      <c r="R47" s="324"/>
      <c r="S47" s="307">
        <f>COUNTIFS('2DEMOGRAPHICS'!G13:G5000,"&gt;=45",'2DEMOGRAPHICS'!G13:G5000,"&lt;=54",'2DEMOGRAPHICS'!H13:H5000,"More than one race reported",'2DEMOGRAPHICS'!K13:K5000,"Female",'2DEMOGRAPHICS'!L13:L5000,"YES")</f>
        <v>0</v>
      </c>
      <c r="T47" s="371"/>
      <c r="U47" s="324"/>
      <c r="V47" s="307">
        <f>COUNTIFS('2DEMOGRAPHICS'!G13:G5000,"&gt;=45",'2DEMOGRAPHICS'!G13:G5000,"&lt;=54",'2DEMOGRAPHICS'!H13:H5000,"Unknown",'2DEMOGRAPHICS'!K13:K5000,"Female",'2DEMOGRAPHICS'!L13:L5000,"YES")</f>
        <v>0</v>
      </c>
      <c r="W47" s="371"/>
      <c r="X47" s="324">
        <f t="shared" si="9"/>
        <v>0</v>
      </c>
      <c r="Y47" s="349">
        <f t="shared" si="10"/>
        <v>1</v>
      </c>
      <c r="Z47" s="378"/>
      <c r="AA47" s="310" t="s">
        <v>478</v>
      </c>
      <c r="AB47" s="302"/>
      <c r="AC47" s="300">
        <f>COUNTIFS('2DEMOGRAPHICS'!G13:G5000,"&gt;=45",'2DEMOGRAPHICS'!G13:G5000,"&lt;=54",'2DEMOGRAPHICS'!I13:I5000,"Not Hispanic or Latino",'2DEMOGRAPHICS'!K13:K5000,"Female",'2DEMOGRAPHICS'!L13:L5000,"YES")</f>
        <v>2</v>
      </c>
      <c r="AD47" s="375"/>
      <c r="AE47" s="308"/>
      <c r="AF47" s="300">
        <f>COUNTIFS('2DEMOGRAPHICS'!G13:G5000,"&gt;=45",'2DEMOGRAPHICS'!G13:G5000,"&lt;=54",'2DEMOGRAPHICS'!I13:I5000,"Hispanic-Latino ",'2DEMOGRAPHICS'!K13:K5000,"Female",'2DEMOGRAPHICS'!L13:L5000,"YES")</f>
        <v>0</v>
      </c>
      <c r="AG47" s="375"/>
      <c r="AH47" s="308"/>
      <c r="AI47" s="300">
        <f>COUNTIFS('2DEMOGRAPHICS'!G13:G5000,"&gt;=45",'2DEMOGRAPHICS'!G13:G5000,"&lt;=54",'2DEMOGRAPHICS'!I13:I5000,"Unknown",'2DEMOGRAPHICS'!K13:K5000,"Female",'2DEMOGRAPHICS'!L13:L5000,"YES")</f>
        <v>0</v>
      </c>
      <c r="AJ47" s="375"/>
      <c r="AK47" s="333"/>
      <c r="AL47" s="332">
        <f t="shared" si="8"/>
        <v>2</v>
      </c>
      <c r="AM47" s="376"/>
    </row>
    <row r="48" spans="1:39" ht="15" customHeight="1" x14ac:dyDescent="0.25">
      <c r="A48" s="1381" t="s">
        <v>479</v>
      </c>
      <c r="B48" s="1382"/>
      <c r="C48" s="323"/>
      <c r="D48" s="307">
        <f>COUNTIFS('2DEMOGRAPHICS'!G13:G5000,"&gt;=55",'2DEMOGRAPHICS'!G13:G5000,"&lt;=64",'2DEMOGRAPHICS'!H13:H5000,"White",'2DEMOGRAPHICS'!K13:K5000,"Female",'2DEMOGRAPHICS'!L13:L5000,"YES")</f>
        <v>1</v>
      </c>
      <c r="E48" s="371"/>
      <c r="F48" s="324"/>
      <c r="G48" s="307">
        <f>COUNTIFS('2DEMOGRAPHICS'!G13:G5000,"&gt;=55",'2DEMOGRAPHICS'!G13:G5000,"&lt;=64",'2DEMOGRAPHICS'!H13:H5000,"African American /Black",'2DEMOGRAPHICS'!K13:K5000,"Female",'2DEMOGRAPHICS'!L13:L5000,"YES")</f>
        <v>0</v>
      </c>
      <c r="H48" s="371"/>
      <c r="I48" s="324"/>
      <c r="J48" s="307">
        <f>COUNTIFS('2DEMOGRAPHICS'!G13:G5000,"&gt;=55",'2DEMOGRAPHICS'!G13:G5000,"&lt;=64",'2DEMOGRAPHICS'!H13:H5000,"Native Hawaiian / Other Pacific Islander",'2DEMOGRAPHICS'!K13:K5000,"Female",'2DEMOGRAPHICS'!L13:L5000,"YES")</f>
        <v>0</v>
      </c>
      <c r="K48" s="371"/>
      <c r="L48" s="324"/>
      <c r="M48" s="307">
        <f>COUNTIFS('2DEMOGRAPHICS'!G13:G5000,"&gt;=55",'2DEMOGRAPHICS'!G13:G5000,"&lt;=64",'2DEMOGRAPHICS'!H13:H5000,"Asian",'2DEMOGRAPHICS'!K13:K5000,"Female",'2DEMOGRAPHICS'!L13:L5000,"YES")</f>
        <v>0</v>
      </c>
      <c r="N48" s="371"/>
      <c r="O48" s="324"/>
      <c r="P48" s="307">
        <f>COUNTIFS('2DEMOGRAPHICS'!G13:G5000,"&gt;=55",'2DEMOGRAPHICS'!G13:G5000,"&lt;=64",'2DEMOGRAPHICS'!H13:H5000,"American Indian / Alaska Native",'2DEMOGRAPHICS'!K13:K5000,"Female",'2DEMOGRAPHICS'!L13:L5000,"YES")</f>
        <v>0</v>
      </c>
      <c r="Q48" s="371"/>
      <c r="R48" s="324"/>
      <c r="S48" s="307">
        <f>COUNTIFS('2DEMOGRAPHICS'!G13:G5000,"&gt;=55",'2DEMOGRAPHICS'!G13:G5000,"&lt;=64",'2DEMOGRAPHICS'!H13:H5000,"More than one race reported",'2DEMOGRAPHICS'!K13:K5000,"Female",'2DEMOGRAPHICS'!L13:L5000,"YES")</f>
        <v>0</v>
      </c>
      <c r="T48" s="371"/>
      <c r="U48" s="324"/>
      <c r="V48" s="307">
        <f>COUNTIFS('2DEMOGRAPHICS'!G13:G5000,"&gt;=55",'2DEMOGRAPHICS'!G13:G5000,"&lt;=64",'2DEMOGRAPHICS'!H13:H5000,"Unknown",'2DEMOGRAPHICS'!K13:K5000,"Female",'2DEMOGRAPHICS'!L13:L5000,"YES")</f>
        <v>0</v>
      </c>
      <c r="W48" s="371"/>
      <c r="X48" s="324">
        <f t="shared" si="9"/>
        <v>0</v>
      </c>
      <c r="Y48" s="349">
        <f t="shared" si="10"/>
        <v>1</v>
      </c>
      <c r="Z48" s="378"/>
      <c r="AA48" s="310" t="s">
        <v>479</v>
      </c>
      <c r="AB48" s="302"/>
      <c r="AC48" s="300">
        <f>COUNTIFS('2DEMOGRAPHICS'!G13:G5000,"&gt;=55",'2DEMOGRAPHICS'!G13:G5000,"&lt;=64",'2DEMOGRAPHICS'!I13:I5000,"Not Hispanic or Latino",'2DEMOGRAPHICS'!K13:K5000,"Female",'2DEMOGRAPHICS'!L13:L5000,"YES")</f>
        <v>0</v>
      </c>
      <c r="AD48" s="375"/>
      <c r="AE48" s="308"/>
      <c r="AF48" s="300">
        <f>COUNTIFS('2DEMOGRAPHICS'!G13:G5000,"&gt;=55",'2DEMOGRAPHICS'!G13:G5000,"&lt;=64",'2DEMOGRAPHICS'!I13:I5000,"Hispanic-Latino ",'2DEMOGRAPHICS'!K13:K5000,"Female",'2DEMOGRAPHICS'!L13:L5000,"YES")</f>
        <v>2</v>
      </c>
      <c r="AG48" s="375"/>
      <c r="AH48" s="308"/>
      <c r="AI48" s="300">
        <f>COUNTIFS('2DEMOGRAPHICS'!G13:G5000,"&gt;=55",'2DEMOGRAPHICS'!G13:G5000,"&lt;=64",'2DEMOGRAPHICS'!I13:I5000,"Unknown",'2DEMOGRAPHICS'!K13:K5000,"Female",'2DEMOGRAPHICS'!L13:L5000,"YES")</f>
        <v>0</v>
      </c>
      <c r="AJ48" s="375"/>
      <c r="AK48" s="333"/>
      <c r="AL48" s="332">
        <f t="shared" si="8"/>
        <v>2</v>
      </c>
      <c r="AM48" s="376"/>
    </row>
    <row r="49" spans="1:39" ht="18.75" customHeight="1" x14ac:dyDescent="0.25">
      <c r="A49" s="1381" t="s">
        <v>480</v>
      </c>
      <c r="B49" s="1382"/>
      <c r="C49" s="323"/>
      <c r="D49" s="307">
        <f>COUNTIFS('2DEMOGRAPHICS'!G13:G5000,"&gt;=65",'2DEMOGRAPHICS'!G13:G5000,"&lt;=74",'2DEMOGRAPHICS'!H13:H5000,"White",'2DEMOGRAPHICS'!K13:K5000,"Female",'2DEMOGRAPHICS'!L13:L5000,"YES")</f>
        <v>1</v>
      </c>
      <c r="E49" s="371"/>
      <c r="F49" s="324"/>
      <c r="G49" s="307">
        <f>COUNTIFS('2DEMOGRAPHICS'!G13:G5000,"&gt;=65",'2DEMOGRAPHICS'!G13:G5000,"&lt;=74",'2DEMOGRAPHICS'!H13:H5000,"African American /Black",'2DEMOGRAPHICS'!K13:K5000,"Female",'2DEMOGRAPHICS'!L13:L5000,"YES")</f>
        <v>0</v>
      </c>
      <c r="H49" s="371"/>
      <c r="I49" s="324"/>
      <c r="J49" s="307">
        <f>COUNTIFS('2DEMOGRAPHICS'!G13:G5000,"&gt;=65",'2DEMOGRAPHICS'!G13:G5000,"&lt;=74",'2DEMOGRAPHICS'!H13:H5000,"Native Hawaiian / Other Pacific Islander",'2DEMOGRAPHICS'!K13:K5000,"Female",'2DEMOGRAPHICS'!L13:L5000,"YES")</f>
        <v>0</v>
      </c>
      <c r="K49" s="371"/>
      <c r="L49" s="324"/>
      <c r="M49" s="307">
        <f>COUNTIFS('2DEMOGRAPHICS'!G13:G5000,"&gt;=65",'2DEMOGRAPHICS'!G13:G5000,"&lt;=74",'2DEMOGRAPHICS'!H13:H5000,"Asian",'2DEMOGRAPHICS'!K13:K5000,"Female",'2DEMOGRAPHICS'!L13:L5000,"YES")</f>
        <v>0</v>
      </c>
      <c r="N49" s="371"/>
      <c r="O49" s="324"/>
      <c r="P49" s="307">
        <f>COUNTIFS('2DEMOGRAPHICS'!G13:G5000,"&gt;=65",'2DEMOGRAPHICS'!G13:G5000,"&lt;=74",'2DEMOGRAPHICS'!H13:H5000,"American Indian / Alaska Native",'2DEMOGRAPHICS'!K13:K5000,"Female",'2DEMOGRAPHICS'!L13:L5000,"YES")</f>
        <v>0</v>
      </c>
      <c r="Q49" s="371"/>
      <c r="R49" s="324"/>
      <c r="S49" s="307">
        <f>COUNTIFS('2DEMOGRAPHICS'!G13:G5000,"&gt;=65",'2DEMOGRAPHICS'!G13:G5000,"&lt;=74",'2DEMOGRAPHICS'!H13:H5000,"More than one race reported",'2DEMOGRAPHICS'!K13:K5000,"Female",'2DEMOGRAPHICS'!L13:L5000,"YES")</f>
        <v>0</v>
      </c>
      <c r="T49" s="371"/>
      <c r="U49" s="324"/>
      <c r="V49" s="307">
        <f>COUNTIFS('2DEMOGRAPHICS'!G13:G5000,"&gt;=65",'2DEMOGRAPHICS'!G13:G5000,"&lt;=74",'2DEMOGRAPHICS'!H13:H5000,"Unknown",'2DEMOGRAPHICS'!K13:K5000,"Female",'2DEMOGRAPHICS'!L13:L5000,"YES")</f>
        <v>0</v>
      </c>
      <c r="W49" s="371"/>
      <c r="X49" s="324">
        <f t="shared" si="9"/>
        <v>0</v>
      </c>
      <c r="Y49" s="349">
        <f t="shared" si="10"/>
        <v>1</v>
      </c>
      <c r="Z49" s="378"/>
      <c r="AA49" s="310" t="s">
        <v>480</v>
      </c>
      <c r="AB49" s="302"/>
      <c r="AC49" s="300">
        <f>COUNTIFS('2DEMOGRAPHICS'!G13:G5000,"&gt;=65",'2DEMOGRAPHICS'!G13:G5000,"&lt;=74",'2DEMOGRAPHICS'!I13:I5000,"Not Hispanic or Latino",'2DEMOGRAPHICS'!K13:K5000,"Female",'2DEMOGRAPHICS'!L13:L5000,"YES")</f>
        <v>0</v>
      </c>
      <c r="AD49" s="375"/>
      <c r="AE49" s="308"/>
      <c r="AF49" s="300">
        <f>COUNTIFS('2DEMOGRAPHICS'!G13:G5000,"&gt;=65",'2DEMOGRAPHICS'!G13:G5000,"&lt;=74",'2DEMOGRAPHICS'!I13:I5000,"Hispanic-Latino ",'2DEMOGRAPHICS'!K13:K5000,"Female",'2DEMOGRAPHICS'!L13:L5000,"YES")</f>
        <v>0</v>
      </c>
      <c r="AG49" s="375"/>
      <c r="AH49" s="308"/>
      <c r="AI49" s="300">
        <f>COUNTIFS('2DEMOGRAPHICS'!G13:G5000,"&gt;=65",'2DEMOGRAPHICS'!G13:G5000,"&lt;=74",'2DEMOGRAPHICS'!I13:I5000,"Unknown",'2DEMOGRAPHICS'!K13:K5000,"Female",'2DEMOGRAPHICS'!L13:L5000,"YES")</f>
        <v>1</v>
      </c>
      <c r="AJ49" s="375"/>
      <c r="AK49" s="333"/>
      <c r="AL49" s="332">
        <f t="shared" si="8"/>
        <v>1</v>
      </c>
      <c r="AM49" s="376"/>
    </row>
    <row r="50" spans="1:39" x14ac:dyDescent="0.25">
      <c r="A50" s="1381" t="s">
        <v>481</v>
      </c>
      <c r="B50" s="1382"/>
      <c r="C50" s="324"/>
      <c r="D50" s="307">
        <f>COUNTIFS('2DEMOGRAPHICS'!G13:G5000,"&gt;=75",'2DEMOGRAPHICS'!G13:G5000,"&lt;=150",'2DEMOGRAPHICS'!H13:H5000,"White",'2DEMOGRAPHICS'!K13:K5000,"Female",'2DEMOGRAPHICS'!L13:L5000,"YES")</f>
        <v>0</v>
      </c>
      <c r="E50" s="371"/>
      <c r="F50" s="324"/>
      <c r="G50" s="307">
        <f>COUNTIFS('2DEMOGRAPHICS'!G13:G5000,"&lt;=&gt;5",'2DEMOGRAPHICS'!G13:G5000,"&lt;=150",'2DEMOGRAPHICS'!H13:H5000,"African American /Black",'2DEMOGRAPHICS'!K13:K5000,"Female",'2DEMOGRAPHICS'!L13:L5000,"YES")</f>
        <v>0</v>
      </c>
      <c r="H50" s="371"/>
      <c r="I50" s="324"/>
      <c r="J50" s="307">
        <f>COUNTIFS('2DEMOGRAPHICS'!G13:G5000,"&gt;=75",'2DEMOGRAPHICS'!G13:G5000,"&lt;=150",'2DEMOGRAPHICS'!H13:H5000,"Native Hawaiian / Other Pacific Islander",'2DEMOGRAPHICS'!K13:K5000,"Female",'2DEMOGRAPHICS'!L13:L5000,"YES")</f>
        <v>0</v>
      </c>
      <c r="K50" s="371"/>
      <c r="L50" s="324"/>
      <c r="M50" s="307">
        <f>COUNTIFS('2DEMOGRAPHICS'!G13:G5000,"&gt;=75",'2DEMOGRAPHICS'!G13:G5000,"&lt;=150",'2DEMOGRAPHICS'!H13:H5000,"Asian",'2DEMOGRAPHICS'!K13:K5000,"Female",'2DEMOGRAPHICS'!L13:L5000,"YES")</f>
        <v>0</v>
      </c>
      <c r="N50" s="371"/>
      <c r="O50" s="324"/>
      <c r="P50" s="307">
        <f>COUNTIFS('2DEMOGRAPHICS'!G13:G5000,"&gt;=75",'2DEMOGRAPHICS'!G13:G5000,"&lt;=150",'2DEMOGRAPHICS'!H13:H5000,"American Indian / Alaska Native",'2DEMOGRAPHICS'!K13:K5000,"Female",'2DEMOGRAPHICS'!L13:L5000,"YES")</f>
        <v>0</v>
      </c>
      <c r="Q50" s="371"/>
      <c r="R50" s="324"/>
      <c r="S50" s="307">
        <f>COUNTIFS('2DEMOGRAPHICS'!G13:G5000,"&gt;=75",'2DEMOGRAPHICS'!G13:G5000,"&lt;=150",'2DEMOGRAPHICS'!H13:H5000,"More than one race reported",'2DEMOGRAPHICS'!K13:K5000,"Female",'2DEMOGRAPHICS'!L13:L5000,"YES")</f>
        <v>0</v>
      </c>
      <c r="T50" s="371"/>
      <c r="U50" s="324"/>
      <c r="V50" s="307">
        <f>COUNTIFS('2DEMOGRAPHICS'!G13:G5000,"&gt;=75",'2DEMOGRAPHICS'!G13:G5000,"&lt;=150",'2DEMOGRAPHICS'!H13:H5000,"Unknown",'2DEMOGRAPHICS'!K13:K5000,"Female",'2DEMOGRAPHICS'!L13:L5000,"YES")</f>
        <v>0</v>
      </c>
      <c r="W50" s="371"/>
      <c r="X50" s="324">
        <f t="shared" si="9"/>
        <v>0</v>
      </c>
      <c r="Y50" s="349">
        <f t="shared" si="10"/>
        <v>0</v>
      </c>
      <c r="Z50" s="378"/>
      <c r="AA50" s="310" t="s">
        <v>502</v>
      </c>
      <c r="AB50" s="302"/>
      <c r="AC50" s="300">
        <f>COUNTIFS('2DEMOGRAPHICS'!G13:G5000,"&gt;=75",'2DEMOGRAPHICS'!G13:G5000,"&lt;=150",'2DEMOGRAPHICS'!I13:I5000,"Not Hispanic or Latino",'2DEMOGRAPHICS'!K13:K5000,"Female",'2DEMOGRAPHICS'!L13:L5000,"YES")</f>
        <v>0</v>
      </c>
      <c r="AD50" s="375"/>
      <c r="AE50" s="308"/>
      <c r="AF50" s="300">
        <f>COUNTIFS('2DEMOGRAPHICS'!G13:G5000,"&gt;=75",'2DEMOGRAPHICS'!G13:G5000,"&lt;=150",'2DEMOGRAPHICS'!I13:I5000,"Hispanic-Latino ",'2DEMOGRAPHICS'!K13:K5000,"Female",'2DEMOGRAPHICS'!L13:L5000,"YES")</f>
        <v>0</v>
      </c>
      <c r="AG50" s="375"/>
      <c r="AH50" s="308"/>
      <c r="AI50" s="300">
        <f>COUNTIFS('2DEMOGRAPHICS'!G13:G5000,"&gt;=75",'2DEMOGRAPHICS'!G13:G5000,"&lt;=150",'2DEMOGRAPHICS'!I13:I5000,"Unknown",'2DEMOGRAPHICS'!K13:K5000,"Female",'2DEMOGRAPHICS'!L13:L5000,"YES")</f>
        <v>0</v>
      </c>
      <c r="AJ50" s="375"/>
      <c r="AK50" s="333"/>
      <c r="AL50" s="332">
        <f t="shared" si="8"/>
        <v>0</v>
      </c>
      <c r="AM50" s="376"/>
    </row>
    <row r="51" spans="1:39" ht="31.5" x14ac:dyDescent="0.25">
      <c r="A51" s="1416" t="s">
        <v>471</v>
      </c>
      <c r="B51" s="1417"/>
      <c r="C51" s="324">
        <f>SUM(C41:C50)</f>
        <v>0</v>
      </c>
      <c r="D51" s="342">
        <f>SUM(D41:D50)</f>
        <v>2</v>
      </c>
      <c r="E51" s="372"/>
      <c r="F51" s="334"/>
      <c r="G51" s="342">
        <f>SUM(G41:G50)</f>
        <v>0</v>
      </c>
      <c r="H51" s="372"/>
      <c r="I51" s="334"/>
      <c r="J51" s="342">
        <f t="shared" ref="J51:P51" si="11">SUM(J41:J50)</f>
        <v>3</v>
      </c>
      <c r="K51" s="372"/>
      <c r="L51" s="334">
        <f t="shared" si="11"/>
        <v>0</v>
      </c>
      <c r="M51" s="342">
        <f t="shared" si="11"/>
        <v>1</v>
      </c>
      <c r="N51" s="372"/>
      <c r="O51" s="334">
        <f t="shared" si="11"/>
        <v>0</v>
      </c>
      <c r="P51" s="342">
        <f t="shared" si="11"/>
        <v>0</v>
      </c>
      <c r="Q51" s="372"/>
      <c r="R51" s="334"/>
      <c r="S51" s="342">
        <f>SUM(S41:S50)</f>
        <v>0</v>
      </c>
      <c r="T51" s="372"/>
      <c r="U51" s="334"/>
      <c r="V51" s="342">
        <f>SUM(V41:V50)</f>
        <v>0</v>
      </c>
      <c r="W51" s="374"/>
      <c r="X51" s="334">
        <f t="shared" si="9"/>
        <v>0</v>
      </c>
      <c r="Y51" s="345">
        <f t="shared" si="10"/>
        <v>6</v>
      </c>
      <c r="Z51" s="379"/>
      <c r="AA51" s="331" t="s">
        <v>503</v>
      </c>
      <c r="AB51" s="334">
        <f t="shared" ref="AB51:AK51" si="12">SUM(AB41:AB50)</f>
        <v>0</v>
      </c>
      <c r="AC51" s="336">
        <f t="shared" si="12"/>
        <v>5</v>
      </c>
      <c r="AD51" s="372"/>
      <c r="AE51" s="334">
        <f t="shared" si="12"/>
        <v>0</v>
      </c>
      <c r="AF51" s="336">
        <f t="shared" si="12"/>
        <v>6</v>
      </c>
      <c r="AG51" s="372"/>
      <c r="AH51" s="334">
        <f t="shared" si="12"/>
        <v>0</v>
      </c>
      <c r="AI51" s="336">
        <f t="shared" si="12"/>
        <v>3</v>
      </c>
      <c r="AJ51" s="372"/>
      <c r="AK51" s="334">
        <f t="shared" si="12"/>
        <v>0</v>
      </c>
      <c r="AL51" s="339">
        <f t="shared" si="8"/>
        <v>14</v>
      </c>
      <c r="AM51" s="377"/>
    </row>
    <row r="52" spans="1:39" ht="15" customHeight="1" x14ac:dyDescent="0.3">
      <c r="A52" s="1410" t="s">
        <v>505</v>
      </c>
      <c r="B52" s="1411"/>
      <c r="C52" s="1411"/>
      <c r="D52" s="1411"/>
      <c r="E52" s="1411"/>
      <c r="F52" s="1411"/>
      <c r="G52" s="1411"/>
      <c r="H52" s="1411"/>
      <c r="I52" s="1411"/>
      <c r="J52" s="1411"/>
      <c r="K52" s="1411"/>
      <c r="L52" s="1411"/>
      <c r="M52" s="1411"/>
      <c r="N52" s="1411"/>
      <c r="O52" s="1411"/>
      <c r="P52" s="1411"/>
      <c r="Q52" s="1411"/>
      <c r="R52" s="1411"/>
      <c r="S52" s="1411"/>
      <c r="T52" s="1411"/>
      <c r="U52" s="1411"/>
      <c r="V52" s="1411"/>
      <c r="W52" s="1412"/>
      <c r="X52" s="1367">
        <f>Y51</f>
        <v>6</v>
      </c>
      <c r="Y52" s="1368"/>
      <c r="Z52" s="1369"/>
      <c r="AA52" s="329"/>
      <c r="AB52" s="1370" t="s">
        <v>505</v>
      </c>
      <c r="AC52" s="1371"/>
      <c r="AD52" s="1371"/>
      <c r="AE52" s="1371"/>
      <c r="AF52" s="1371"/>
      <c r="AG52" s="1371"/>
      <c r="AH52" s="1371"/>
      <c r="AI52" s="1371"/>
      <c r="AJ52" s="1372"/>
      <c r="AK52" s="1429">
        <f>AL51</f>
        <v>14</v>
      </c>
      <c r="AL52" s="1430"/>
      <c r="AM52" s="1431"/>
    </row>
    <row r="53" spans="1:39" ht="18.75" x14ac:dyDescent="0.3">
      <c r="A53" s="1415" t="s">
        <v>506</v>
      </c>
      <c r="B53" s="1415"/>
      <c r="C53" s="1415"/>
      <c r="D53" s="1415"/>
      <c r="E53" s="1415"/>
      <c r="F53" s="1415"/>
      <c r="G53" s="1415"/>
      <c r="H53" s="1415"/>
      <c r="I53" s="1415"/>
      <c r="J53" s="1415"/>
      <c r="K53" s="1415"/>
      <c r="L53" s="1415"/>
      <c r="M53" s="1415"/>
      <c r="N53" s="1415"/>
      <c r="O53" s="1415"/>
      <c r="P53" s="1415"/>
      <c r="Q53" s="1415"/>
      <c r="R53" s="1415"/>
      <c r="S53" s="1415"/>
      <c r="T53" s="1415"/>
      <c r="U53" s="1415"/>
      <c r="V53" s="1415"/>
      <c r="W53" s="1415"/>
      <c r="X53" s="1362">
        <f>X36+Y51</f>
        <v>22</v>
      </c>
      <c r="Y53" s="1362"/>
      <c r="Z53" s="1362"/>
      <c r="AA53" s="330"/>
      <c r="AB53" s="1402" t="s">
        <v>506</v>
      </c>
      <c r="AC53" s="1403"/>
      <c r="AD53" s="1403"/>
      <c r="AE53" s="1403"/>
      <c r="AF53" s="1403"/>
      <c r="AG53" s="1403"/>
      <c r="AH53" s="1403"/>
      <c r="AI53" s="1403"/>
      <c r="AJ53" s="1403"/>
      <c r="AK53" s="1362">
        <f>AK36+AK52</f>
        <v>50</v>
      </c>
      <c r="AL53" s="1362"/>
      <c r="AM53" s="1362"/>
    </row>
    <row r="55" spans="1:39" ht="18.75" x14ac:dyDescent="0.3">
      <c r="A55" s="1418" t="s">
        <v>500</v>
      </c>
      <c r="B55" s="1418"/>
      <c r="C55" s="1418"/>
      <c r="D55" s="1418"/>
      <c r="E55" s="1418"/>
      <c r="F55" s="1418"/>
      <c r="G55" s="1418"/>
      <c r="H55" s="1418"/>
      <c r="I55" s="1418"/>
      <c r="J55" s="1413"/>
      <c r="K55" s="1414"/>
      <c r="L55" s="303"/>
      <c r="M55" s="303"/>
    </row>
    <row r="56" spans="1:39" x14ac:dyDescent="0.25">
      <c r="A56" s="1399" t="s">
        <v>241</v>
      </c>
      <c r="B56" s="1399"/>
      <c r="C56" s="1399"/>
      <c r="D56" s="1399"/>
      <c r="E56" s="1399"/>
      <c r="F56" s="1399"/>
      <c r="G56" s="1399"/>
      <c r="H56" s="1399"/>
      <c r="I56" s="1399"/>
      <c r="J56" s="1399"/>
      <c r="K56" s="1399"/>
      <c r="L56" s="304"/>
      <c r="M56" s="304"/>
    </row>
    <row r="57" spans="1:39" x14ac:dyDescent="0.25">
      <c r="A57" s="1269" t="s">
        <v>489</v>
      </c>
      <c r="B57" s="1269"/>
      <c r="C57" s="1269"/>
      <c r="D57" s="1269"/>
      <c r="E57" s="1269"/>
      <c r="F57" s="1269"/>
      <c r="G57" s="1269"/>
      <c r="H57" s="1269"/>
      <c r="I57" s="1269"/>
      <c r="J57" s="1269"/>
      <c r="K57" s="1269"/>
      <c r="L57" s="304"/>
      <c r="M57" s="304"/>
    </row>
    <row r="58" spans="1:39" x14ac:dyDescent="0.25">
      <c r="A58" s="1399" t="s">
        <v>339</v>
      </c>
      <c r="B58" s="1399"/>
      <c r="C58" s="1399"/>
      <c r="D58" s="1399"/>
      <c r="E58" s="1399"/>
      <c r="F58" s="1399"/>
      <c r="G58" s="1399"/>
      <c r="H58" s="1399"/>
      <c r="I58" s="1399"/>
      <c r="J58" s="1399"/>
      <c r="K58" s="1399"/>
      <c r="L58" s="304"/>
      <c r="M58" s="304"/>
    </row>
    <row r="59" spans="1:39" x14ac:dyDescent="0.25">
      <c r="A59" s="1269"/>
      <c r="B59" s="1269"/>
      <c r="C59" s="1269"/>
      <c r="D59" s="1269"/>
      <c r="E59" s="1269"/>
      <c r="F59" s="1269"/>
      <c r="G59" s="1269"/>
      <c r="H59" s="1269"/>
      <c r="I59" s="1269"/>
      <c r="J59" s="1269"/>
      <c r="K59" s="1269"/>
      <c r="L59" s="304"/>
      <c r="M59" s="304"/>
    </row>
    <row r="60" spans="1:39" x14ac:dyDescent="0.25">
      <c r="A60" s="1401"/>
      <c r="B60" s="1401"/>
      <c r="C60" s="1401"/>
      <c r="D60" s="1401"/>
      <c r="E60" s="1401"/>
      <c r="F60" s="1401"/>
      <c r="G60" s="1401"/>
      <c r="H60" s="1401"/>
      <c r="I60" s="1401"/>
      <c r="J60" s="1401"/>
      <c r="K60" s="1401"/>
      <c r="L60" s="305"/>
      <c r="M60" s="305"/>
    </row>
    <row r="61" spans="1:39" ht="18.75" x14ac:dyDescent="0.25">
      <c r="A61" s="1400" t="s">
        <v>498</v>
      </c>
      <c r="B61" s="1400"/>
      <c r="C61" s="1400"/>
      <c r="D61" s="1400"/>
      <c r="E61" s="1400"/>
      <c r="F61" s="1400"/>
      <c r="G61" s="1400"/>
      <c r="H61" s="1400"/>
      <c r="I61" s="1400"/>
      <c r="J61" s="1400"/>
      <c r="K61" s="1400"/>
      <c r="L61" s="1400"/>
      <c r="M61" s="1400"/>
      <c r="N61" s="1400"/>
      <c r="O61" s="1400"/>
    </row>
    <row r="62" spans="1:39" x14ac:dyDescent="0.25">
      <c r="A62" s="1399" t="s">
        <v>490</v>
      </c>
      <c r="B62" s="1399"/>
      <c r="C62" s="1399"/>
      <c r="D62" s="1399"/>
      <c r="E62" s="1399"/>
      <c r="F62" s="1399"/>
      <c r="G62" s="1399"/>
      <c r="H62" s="1399"/>
      <c r="I62" s="1399"/>
      <c r="J62" s="1399"/>
      <c r="K62" s="1399"/>
      <c r="L62" s="1399"/>
      <c r="M62" s="1399"/>
      <c r="N62" s="1399"/>
      <c r="O62" s="1399"/>
      <c r="P62" s="306"/>
      <c r="Q62" s="306"/>
    </row>
    <row r="63" spans="1:39" x14ac:dyDescent="0.25">
      <c r="A63" s="1399" t="s">
        <v>492</v>
      </c>
      <c r="B63" s="1399"/>
      <c r="C63" s="1399"/>
      <c r="D63" s="1399"/>
      <c r="E63" s="1399"/>
      <c r="F63" s="1399"/>
      <c r="G63" s="1399"/>
      <c r="H63" s="1399"/>
      <c r="I63" s="1399"/>
      <c r="J63" s="1399"/>
      <c r="K63" s="1399"/>
      <c r="L63" s="1399"/>
      <c r="M63" s="1399"/>
      <c r="N63" s="1399"/>
      <c r="O63" s="1399"/>
      <c r="P63" s="306"/>
      <c r="Q63" s="306"/>
    </row>
    <row r="64" spans="1:39" x14ac:dyDescent="0.25">
      <c r="A64" s="1399" t="s">
        <v>491</v>
      </c>
      <c r="B64" s="1399"/>
      <c r="C64" s="1399"/>
      <c r="D64" s="1399"/>
      <c r="E64" s="1399"/>
      <c r="F64" s="1399"/>
      <c r="G64" s="1399"/>
      <c r="H64" s="1399"/>
      <c r="I64" s="1399"/>
      <c r="J64" s="1399"/>
      <c r="K64" s="1399"/>
      <c r="L64" s="1399"/>
      <c r="M64" s="1399"/>
      <c r="N64" s="1399"/>
      <c r="O64" s="1399"/>
      <c r="P64" s="306"/>
      <c r="Q64" s="306"/>
    </row>
    <row r="65" spans="1:17" x14ac:dyDescent="0.25">
      <c r="A65" s="1399" t="s">
        <v>493</v>
      </c>
      <c r="B65" s="1399"/>
      <c r="C65" s="1399"/>
      <c r="D65" s="1399"/>
      <c r="E65" s="1399"/>
      <c r="F65" s="1399"/>
      <c r="G65" s="1399"/>
      <c r="H65" s="1399"/>
      <c r="I65" s="1399"/>
      <c r="J65" s="1399"/>
      <c r="K65" s="1399"/>
      <c r="L65" s="1399"/>
      <c r="M65" s="1399"/>
      <c r="N65" s="1399"/>
      <c r="O65" s="1399"/>
      <c r="P65" s="306"/>
      <c r="Q65" s="306"/>
    </row>
    <row r="66" spans="1:17" x14ac:dyDescent="0.25">
      <c r="A66" s="1399" t="s">
        <v>494</v>
      </c>
      <c r="B66" s="1399"/>
      <c r="C66" s="1399"/>
      <c r="D66" s="1399"/>
      <c r="E66" s="1399"/>
      <c r="F66" s="1399"/>
      <c r="G66" s="1399"/>
      <c r="H66" s="1399"/>
      <c r="I66" s="1399"/>
      <c r="J66" s="1399"/>
      <c r="K66" s="1399"/>
      <c r="L66" s="1399"/>
      <c r="M66" s="1399"/>
      <c r="N66" s="1399"/>
      <c r="O66" s="1399"/>
      <c r="P66" s="306"/>
      <c r="Q66" s="306"/>
    </row>
    <row r="67" spans="1:17" x14ac:dyDescent="0.25">
      <c r="A67" s="1399" t="s">
        <v>495</v>
      </c>
      <c r="B67" s="1399"/>
      <c r="C67" s="1399"/>
      <c r="D67" s="1399"/>
      <c r="E67" s="1399"/>
      <c r="F67" s="1399"/>
      <c r="G67" s="1399"/>
      <c r="H67" s="1399"/>
      <c r="I67" s="1399"/>
      <c r="J67" s="1399"/>
      <c r="K67" s="1399"/>
      <c r="L67" s="1399"/>
      <c r="M67" s="1399"/>
      <c r="N67" s="1399"/>
      <c r="O67" s="1399"/>
      <c r="P67" s="306"/>
      <c r="Q67" s="306"/>
    </row>
    <row r="68" spans="1:17" x14ac:dyDescent="0.25">
      <c r="A68" s="1399" t="s">
        <v>496</v>
      </c>
      <c r="B68" s="1399"/>
      <c r="C68" s="1399"/>
      <c r="D68" s="1399"/>
      <c r="E68" s="1399"/>
      <c r="F68" s="1399"/>
      <c r="G68" s="1399"/>
      <c r="H68" s="1399"/>
      <c r="I68" s="1399"/>
      <c r="J68" s="1399"/>
      <c r="K68" s="1399"/>
      <c r="L68" s="1399"/>
      <c r="M68" s="1399"/>
      <c r="N68" s="1399"/>
      <c r="O68" s="1399"/>
      <c r="P68" s="306"/>
      <c r="Q68" s="306"/>
    </row>
    <row r="69" spans="1:17" x14ac:dyDescent="0.25">
      <c r="A69" s="1399" t="s">
        <v>497</v>
      </c>
      <c r="B69" s="1399"/>
      <c r="C69" s="1399"/>
      <c r="D69" s="1399"/>
      <c r="E69" s="1399"/>
      <c r="F69" s="1399"/>
      <c r="G69" s="1399"/>
      <c r="H69" s="1399"/>
      <c r="I69" s="1399"/>
      <c r="J69" s="1399"/>
      <c r="K69" s="1399"/>
      <c r="L69" s="1399"/>
      <c r="M69" s="1399"/>
      <c r="N69" s="1399"/>
      <c r="O69" s="1399"/>
      <c r="P69" s="306"/>
      <c r="Q69" s="306"/>
    </row>
    <row r="70" spans="1:17" x14ac:dyDescent="0.25">
      <c r="A70" s="1407"/>
      <c r="B70" s="1408"/>
      <c r="C70" s="1408"/>
      <c r="D70" s="1408"/>
      <c r="E70" s="1408"/>
      <c r="F70" s="1408"/>
      <c r="G70" s="1408"/>
      <c r="H70" s="1408"/>
      <c r="I70" s="1408"/>
      <c r="J70" s="1408"/>
      <c r="K70" s="1408"/>
      <c r="L70" s="1408"/>
      <c r="M70" s="1408"/>
      <c r="N70" s="1408"/>
      <c r="O70" s="1409"/>
    </row>
    <row r="75" spans="1:17" x14ac:dyDescent="0.25">
      <c r="A75" s="1404" t="s">
        <v>452</v>
      </c>
      <c r="B75" s="1404"/>
      <c r="C75" s="1404"/>
      <c r="D75" s="1404"/>
      <c r="E75" s="1404"/>
      <c r="F75" s="1404"/>
      <c r="G75" s="1404"/>
      <c r="H75" s="1404"/>
    </row>
    <row r="95" spans="1:8" x14ac:dyDescent="0.25">
      <c r="A95" s="1404" t="s">
        <v>453</v>
      </c>
      <c r="B95" s="1404"/>
      <c r="C95" s="1404"/>
      <c r="D95" s="1404"/>
      <c r="E95" s="1404"/>
      <c r="F95" s="1404"/>
      <c r="G95" s="1404"/>
      <c r="H95" s="1404"/>
    </row>
    <row r="115" spans="1:8" x14ac:dyDescent="0.25">
      <c r="A115" s="1405" t="s">
        <v>454</v>
      </c>
      <c r="B115" s="1405"/>
      <c r="C115" s="1405"/>
      <c r="D115" s="1405"/>
      <c r="E115" s="1405"/>
      <c r="F115" s="1405"/>
      <c r="G115" s="1405"/>
      <c r="H115" s="1405"/>
    </row>
    <row r="135" spans="1:8" x14ac:dyDescent="0.25">
      <c r="A135" s="1406" t="s">
        <v>455</v>
      </c>
      <c r="B135" s="1406"/>
      <c r="C135" s="1406"/>
      <c r="D135" s="1406"/>
      <c r="E135" s="1406"/>
      <c r="F135" s="1406"/>
      <c r="G135" s="1406"/>
      <c r="H135" s="1406"/>
    </row>
  </sheetData>
  <mergeCells count="174">
    <mergeCell ref="AK39:AM39"/>
    <mergeCell ref="AB23:AD23"/>
    <mergeCell ref="AK23:AM23"/>
    <mergeCell ref="A23:B23"/>
    <mergeCell ref="A24:B24"/>
    <mergeCell ref="A25:B25"/>
    <mergeCell ref="A26:B26"/>
    <mergeCell ref="A27:B27"/>
    <mergeCell ref="A28:B28"/>
    <mergeCell ref="A29:B29"/>
    <mergeCell ref="A30:B30"/>
    <mergeCell ref="A32:B32"/>
    <mergeCell ref="A33:B33"/>
    <mergeCell ref="A34:B34"/>
    <mergeCell ref="A36:W36"/>
    <mergeCell ref="AB36:AJ36"/>
    <mergeCell ref="C38:Z38"/>
    <mergeCell ref="R39:T39"/>
    <mergeCell ref="U39:W39"/>
    <mergeCell ref="A35:B35"/>
    <mergeCell ref="AK52:AM52"/>
    <mergeCell ref="AA7:AJ7"/>
    <mergeCell ref="AA8:AJ8"/>
    <mergeCell ref="AA9:AJ9"/>
    <mergeCell ref="A7:I7"/>
    <mergeCell ref="A1:AJ1"/>
    <mergeCell ref="A2:AJ2"/>
    <mergeCell ref="A3:AJ3"/>
    <mergeCell ref="A5:I5"/>
    <mergeCell ref="A6:I6"/>
    <mergeCell ref="A8:I8"/>
    <mergeCell ref="J5:R5"/>
    <mergeCell ref="J6:R6"/>
    <mergeCell ref="J7:R8"/>
    <mergeCell ref="S5:Z5"/>
    <mergeCell ref="S6:Z6"/>
    <mergeCell ref="S7:Z7"/>
    <mergeCell ref="S8:Z8"/>
    <mergeCell ref="AA5:AJ5"/>
    <mergeCell ref="AA6:AJ6"/>
    <mergeCell ref="A4:AJ4"/>
    <mergeCell ref="A9:I9"/>
    <mergeCell ref="O9:R9"/>
    <mergeCell ref="J9:N9"/>
    <mergeCell ref="A10:AJ10"/>
    <mergeCell ref="A12:AJ12"/>
    <mergeCell ref="S9:Z9"/>
    <mergeCell ref="AB38:AM38"/>
    <mergeCell ref="A37:AM37"/>
    <mergeCell ref="X36:Z36"/>
    <mergeCell ref="AK36:AM36"/>
    <mergeCell ref="A21:AM21"/>
    <mergeCell ref="C22:Z22"/>
    <mergeCell ref="AB22:AM22"/>
    <mergeCell ref="A20:Q20"/>
    <mergeCell ref="Q16:R16"/>
    <mergeCell ref="G17:H17"/>
    <mergeCell ref="I17:J17"/>
    <mergeCell ref="K17:L17"/>
    <mergeCell ref="M17:N17"/>
    <mergeCell ref="O17:P17"/>
    <mergeCell ref="Q17:R17"/>
    <mergeCell ref="S17:T17"/>
    <mergeCell ref="U17:V17"/>
    <mergeCell ref="W17:X17"/>
    <mergeCell ref="Y17:Z17"/>
    <mergeCell ref="AA17:AB17"/>
    <mergeCell ref="AC17:AD17"/>
    <mergeCell ref="A75:H75"/>
    <mergeCell ref="A95:H95"/>
    <mergeCell ref="A46:B46"/>
    <mergeCell ref="A45:B45"/>
    <mergeCell ref="A115:H115"/>
    <mergeCell ref="A135:H135"/>
    <mergeCell ref="A50:B50"/>
    <mergeCell ref="N62:O62"/>
    <mergeCell ref="A70:O70"/>
    <mergeCell ref="A69:M69"/>
    <mergeCell ref="A52:W52"/>
    <mergeCell ref="J55:K55"/>
    <mergeCell ref="N69:O69"/>
    <mergeCell ref="A57:I57"/>
    <mergeCell ref="A58:I58"/>
    <mergeCell ref="A53:W53"/>
    <mergeCell ref="A51:B51"/>
    <mergeCell ref="A49:B49"/>
    <mergeCell ref="A48:B48"/>
    <mergeCell ref="A47:B47"/>
    <mergeCell ref="A55:I55"/>
    <mergeCell ref="AK53:AM53"/>
    <mergeCell ref="A62:M62"/>
    <mergeCell ref="N63:O63"/>
    <mergeCell ref="N64:O64"/>
    <mergeCell ref="N65:O65"/>
    <mergeCell ref="N66:O66"/>
    <mergeCell ref="N67:O67"/>
    <mergeCell ref="N68:O68"/>
    <mergeCell ref="A63:M63"/>
    <mergeCell ref="A64:M64"/>
    <mergeCell ref="A65:M65"/>
    <mergeCell ref="A66:M66"/>
    <mergeCell ref="A67:M67"/>
    <mergeCell ref="A68:M68"/>
    <mergeCell ref="A61:O61"/>
    <mergeCell ref="J56:K56"/>
    <mergeCell ref="J59:K59"/>
    <mergeCell ref="J60:K60"/>
    <mergeCell ref="A59:I59"/>
    <mergeCell ref="A60:I60"/>
    <mergeCell ref="J57:K57"/>
    <mergeCell ref="J58:K58"/>
    <mergeCell ref="AB53:AJ53"/>
    <mergeCell ref="A56:I56"/>
    <mergeCell ref="D14:AH14"/>
    <mergeCell ref="D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E17:AF17"/>
    <mergeCell ref="AG17:AH17"/>
    <mergeCell ref="S16:T16"/>
    <mergeCell ref="U16:V16"/>
    <mergeCell ref="W16:X16"/>
    <mergeCell ref="Y16:Z16"/>
    <mergeCell ref="AA16:AB16"/>
    <mergeCell ref="A44:B44"/>
    <mergeCell ref="A42:B42"/>
    <mergeCell ref="D16:F16"/>
    <mergeCell ref="G16:H16"/>
    <mergeCell ref="I16:J16"/>
    <mergeCell ref="K16:L16"/>
    <mergeCell ref="M16:N16"/>
    <mergeCell ref="O16:P16"/>
    <mergeCell ref="C23:E23"/>
    <mergeCell ref="F23:H23"/>
    <mergeCell ref="A41:B41"/>
    <mergeCell ref="AB39:AD39"/>
    <mergeCell ref="AE39:AG39"/>
    <mergeCell ref="AH39:AJ39"/>
    <mergeCell ref="X53:Z53"/>
    <mergeCell ref="A39:B40"/>
    <mergeCell ref="X52:Z52"/>
    <mergeCell ref="AB52:AJ52"/>
    <mergeCell ref="AC16:AD16"/>
    <mergeCell ref="AE16:AF16"/>
    <mergeCell ref="AG16:AH16"/>
    <mergeCell ref="AE23:AG23"/>
    <mergeCell ref="AH23:AJ23"/>
    <mergeCell ref="D17:F17"/>
    <mergeCell ref="C39:E39"/>
    <mergeCell ref="F39:H39"/>
    <mergeCell ref="I39:K39"/>
    <mergeCell ref="L39:N39"/>
    <mergeCell ref="O39:Q39"/>
    <mergeCell ref="A31:B31"/>
    <mergeCell ref="A43:B43"/>
    <mergeCell ref="X39:Z39"/>
    <mergeCell ref="I23:K23"/>
    <mergeCell ref="L23:N23"/>
    <mergeCell ref="O23:Q23"/>
    <mergeCell ref="R23:T23"/>
    <mergeCell ref="U23:W23"/>
    <mergeCell ref="X23:Z23"/>
  </mergeCell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36862A0-B0BC-44D9-9447-86EF03EEE490}">
          <x14:formula1>
            <xm:f>'Pick List '!$A$4:$A$15</xm:f>
          </x14:formula1>
          <xm:sqref>J9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F68C6-D960-4391-8EB1-23D6908B6AD9}">
  <dimension ref="A1:V178"/>
  <sheetViews>
    <sheetView topLeftCell="A21" workbookViewId="0">
      <selection activeCell="A34" sqref="A34"/>
    </sheetView>
  </sheetViews>
  <sheetFormatPr defaultRowHeight="15" x14ac:dyDescent="0.25"/>
  <cols>
    <col min="15" max="15" width="11.5703125" customWidth="1"/>
  </cols>
  <sheetData>
    <row r="1" spans="1:21" x14ac:dyDescent="0.25">
      <c r="A1" t="s">
        <v>25</v>
      </c>
    </row>
    <row r="3" spans="1:21" x14ac:dyDescent="0.25">
      <c r="A3" s="2" t="s">
        <v>26</v>
      </c>
      <c r="C3" s="2" t="s">
        <v>27</v>
      </c>
      <c r="E3" s="2" t="s">
        <v>28</v>
      </c>
      <c r="I3" s="2" t="s">
        <v>29</v>
      </c>
      <c r="L3" s="2" t="s">
        <v>30</v>
      </c>
      <c r="N3" s="2" t="s">
        <v>31</v>
      </c>
      <c r="O3" s="2" t="s">
        <v>32</v>
      </c>
      <c r="Q3" s="2" t="s">
        <v>33</v>
      </c>
      <c r="S3" s="2" t="s">
        <v>34</v>
      </c>
      <c r="U3" s="2" t="s">
        <v>35</v>
      </c>
    </row>
    <row r="4" spans="1:21" x14ac:dyDescent="0.25">
      <c r="A4" s="3" t="s">
        <v>23</v>
      </c>
      <c r="C4" s="3">
        <v>2020</v>
      </c>
      <c r="E4" s="3" t="s">
        <v>36</v>
      </c>
      <c r="I4" s="3" t="s">
        <v>37</v>
      </c>
      <c r="L4" s="3" t="s">
        <v>38</v>
      </c>
      <c r="N4" s="4" t="s">
        <v>39</v>
      </c>
      <c r="O4" s="5">
        <v>4</v>
      </c>
      <c r="P4" s="6">
        <v>1</v>
      </c>
      <c r="Q4" s="3" t="s">
        <v>40</v>
      </c>
      <c r="R4" s="6">
        <v>22</v>
      </c>
      <c r="S4" s="3" t="s">
        <v>39</v>
      </c>
      <c r="T4" s="6">
        <v>45</v>
      </c>
      <c r="U4" s="3" t="s">
        <v>41</v>
      </c>
    </row>
    <row r="5" spans="1:21" x14ac:dyDescent="0.25">
      <c r="A5" s="3" t="s">
        <v>42</v>
      </c>
      <c r="C5" s="3">
        <v>2021</v>
      </c>
      <c r="E5" s="3" t="s">
        <v>43</v>
      </c>
      <c r="I5" s="3" t="s">
        <v>44</v>
      </c>
      <c r="L5" s="3" t="s">
        <v>45</v>
      </c>
      <c r="N5" s="4" t="s">
        <v>46</v>
      </c>
      <c r="O5" s="5">
        <v>2</v>
      </c>
      <c r="P5" s="6">
        <v>2</v>
      </c>
      <c r="Q5" s="3" t="s">
        <v>47</v>
      </c>
      <c r="R5" s="6">
        <v>23</v>
      </c>
      <c r="S5" s="3" t="s">
        <v>48</v>
      </c>
      <c r="T5" s="6">
        <v>46</v>
      </c>
      <c r="U5" s="3" t="s">
        <v>49</v>
      </c>
    </row>
    <row r="6" spans="1:21" x14ac:dyDescent="0.25">
      <c r="A6" s="3" t="s">
        <v>50</v>
      </c>
      <c r="C6" s="3">
        <v>2022</v>
      </c>
      <c r="E6" s="3" t="s">
        <v>51</v>
      </c>
      <c r="I6" s="3" t="s">
        <v>52</v>
      </c>
      <c r="L6" s="3" t="s">
        <v>78</v>
      </c>
      <c r="N6" s="4" t="s">
        <v>53</v>
      </c>
      <c r="O6" s="5">
        <v>5</v>
      </c>
      <c r="P6" s="6">
        <v>3</v>
      </c>
      <c r="Q6" s="3" t="s">
        <v>54</v>
      </c>
      <c r="R6" s="6">
        <v>24</v>
      </c>
      <c r="S6" s="3" t="s">
        <v>55</v>
      </c>
      <c r="T6" s="6">
        <v>47</v>
      </c>
      <c r="U6" s="3" t="s">
        <v>56</v>
      </c>
    </row>
    <row r="7" spans="1:21" x14ac:dyDescent="0.25">
      <c r="A7" s="3" t="s">
        <v>57</v>
      </c>
      <c r="C7" s="3">
        <v>2023</v>
      </c>
      <c r="E7" s="3" t="s">
        <v>58</v>
      </c>
      <c r="N7" s="4" t="s">
        <v>48</v>
      </c>
      <c r="O7" s="5">
        <v>4</v>
      </c>
      <c r="P7" s="6">
        <v>4</v>
      </c>
      <c r="Q7" s="3" t="s">
        <v>59</v>
      </c>
      <c r="R7" s="6">
        <v>25</v>
      </c>
      <c r="S7" s="3" t="s">
        <v>60</v>
      </c>
      <c r="T7" s="6">
        <v>48</v>
      </c>
      <c r="U7" s="3" t="s">
        <v>61</v>
      </c>
    </row>
    <row r="8" spans="1:21" x14ac:dyDescent="0.25">
      <c r="A8" s="3" t="s">
        <v>62</v>
      </c>
      <c r="C8" s="3">
        <v>2024</v>
      </c>
      <c r="E8" s="3" t="s">
        <v>63</v>
      </c>
      <c r="N8" s="7" t="s">
        <v>40</v>
      </c>
      <c r="O8" s="5">
        <v>1</v>
      </c>
      <c r="P8" s="6">
        <v>5</v>
      </c>
      <c r="Q8" s="3" t="s">
        <v>64</v>
      </c>
      <c r="R8" s="6">
        <v>26</v>
      </c>
      <c r="S8" s="3" t="s">
        <v>65</v>
      </c>
      <c r="T8" s="6">
        <v>49</v>
      </c>
      <c r="U8" s="3" t="s">
        <v>66</v>
      </c>
    </row>
    <row r="9" spans="1:21" x14ac:dyDescent="0.25">
      <c r="A9" s="3" t="s">
        <v>67</v>
      </c>
      <c r="C9" s="3">
        <v>2025</v>
      </c>
      <c r="E9" s="3" t="s">
        <v>68</v>
      </c>
      <c r="L9" s="3" t="s">
        <v>38</v>
      </c>
      <c r="N9" s="4" t="s">
        <v>69</v>
      </c>
      <c r="O9" s="5">
        <v>5</v>
      </c>
      <c r="P9" s="6"/>
      <c r="R9" s="6">
        <v>27</v>
      </c>
      <c r="S9" s="3" t="s">
        <v>70</v>
      </c>
      <c r="T9" s="6">
        <v>50</v>
      </c>
      <c r="U9" s="3" t="s">
        <v>71</v>
      </c>
    </row>
    <row r="10" spans="1:21" x14ac:dyDescent="0.25">
      <c r="A10" s="3" t="s">
        <v>72</v>
      </c>
      <c r="C10" s="3"/>
      <c r="E10" s="3" t="s">
        <v>52</v>
      </c>
      <c r="L10" s="3" t="s">
        <v>45</v>
      </c>
      <c r="N10" s="4" t="s">
        <v>73</v>
      </c>
      <c r="O10" s="5">
        <v>3</v>
      </c>
      <c r="P10" s="6"/>
      <c r="R10" s="6">
        <v>28</v>
      </c>
      <c r="S10" s="3" t="s">
        <v>74</v>
      </c>
      <c r="T10" s="6">
        <v>51</v>
      </c>
      <c r="U10" s="3" t="s">
        <v>75</v>
      </c>
    </row>
    <row r="11" spans="1:21" x14ac:dyDescent="0.25">
      <c r="A11" s="3" t="s">
        <v>76</v>
      </c>
      <c r="C11" s="3"/>
      <c r="I11" t="s">
        <v>77</v>
      </c>
      <c r="L11" s="3" t="s">
        <v>78</v>
      </c>
      <c r="N11" s="4" t="s">
        <v>79</v>
      </c>
      <c r="O11" s="5">
        <v>5</v>
      </c>
      <c r="P11" s="6"/>
      <c r="Q11" s="8" t="s">
        <v>80</v>
      </c>
      <c r="R11" s="6">
        <v>29</v>
      </c>
      <c r="S11" s="3" t="s">
        <v>81</v>
      </c>
      <c r="T11" s="6">
        <v>52</v>
      </c>
      <c r="U11" s="3" t="s">
        <v>82</v>
      </c>
    </row>
    <row r="12" spans="1:21" x14ac:dyDescent="0.25">
      <c r="A12" s="3" t="s">
        <v>83</v>
      </c>
      <c r="C12" s="3"/>
      <c r="I12" t="s">
        <v>84</v>
      </c>
      <c r="L12" s="3" t="s">
        <v>85</v>
      </c>
      <c r="N12" s="4" t="s">
        <v>55</v>
      </c>
      <c r="O12" s="5">
        <v>4</v>
      </c>
      <c r="P12" s="6">
        <v>6</v>
      </c>
      <c r="Q12" s="3" t="s">
        <v>46</v>
      </c>
      <c r="R12" s="6">
        <v>30</v>
      </c>
      <c r="S12" s="3" t="s">
        <v>86</v>
      </c>
      <c r="T12" s="6">
        <v>53</v>
      </c>
      <c r="U12" s="3" t="s">
        <v>87</v>
      </c>
    </row>
    <row r="13" spans="1:21" x14ac:dyDescent="0.25">
      <c r="A13" s="3" t="s">
        <v>88</v>
      </c>
      <c r="I13" t="s">
        <v>89</v>
      </c>
      <c r="L13" s="3"/>
      <c r="N13" s="4" t="s">
        <v>41</v>
      </c>
      <c r="O13" s="5">
        <v>6</v>
      </c>
      <c r="P13" s="6">
        <v>7</v>
      </c>
      <c r="Q13" s="3" t="s">
        <v>90</v>
      </c>
      <c r="R13" s="6">
        <v>31</v>
      </c>
      <c r="S13" s="3" t="s">
        <v>91</v>
      </c>
      <c r="T13" s="6">
        <v>54</v>
      </c>
      <c r="U13" s="3" t="s">
        <v>92</v>
      </c>
    </row>
    <row r="14" spans="1:21" x14ac:dyDescent="0.25">
      <c r="A14" s="3" t="s">
        <v>93</v>
      </c>
      <c r="E14" s="2" t="s">
        <v>94</v>
      </c>
      <c r="F14" s="2"/>
      <c r="G14" s="2"/>
      <c r="I14" t="s">
        <v>95</v>
      </c>
      <c r="N14" s="4" t="s">
        <v>60</v>
      </c>
      <c r="O14" s="5">
        <v>4</v>
      </c>
      <c r="P14" s="6">
        <v>8</v>
      </c>
      <c r="Q14" s="3" t="s">
        <v>96</v>
      </c>
      <c r="R14" s="6">
        <v>32</v>
      </c>
      <c r="S14" s="3" t="s">
        <v>97</v>
      </c>
      <c r="T14" s="6">
        <v>55</v>
      </c>
      <c r="U14" s="3" t="s">
        <v>98</v>
      </c>
    </row>
    <row r="15" spans="1:21" x14ac:dyDescent="0.25">
      <c r="A15" s="3" t="s">
        <v>99</v>
      </c>
      <c r="E15" s="3" t="s">
        <v>100</v>
      </c>
      <c r="G15" t="s">
        <v>100</v>
      </c>
      <c r="I15" t="s">
        <v>101</v>
      </c>
      <c r="N15" s="4" t="s">
        <v>90</v>
      </c>
      <c r="O15" s="5">
        <v>2</v>
      </c>
      <c r="P15" s="6">
        <v>9</v>
      </c>
      <c r="Q15" s="3" t="s">
        <v>102</v>
      </c>
      <c r="R15" s="6">
        <v>33</v>
      </c>
      <c r="S15" s="3" t="s">
        <v>103</v>
      </c>
    </row>
    <row r="16" spans="1:21" x14ac:dyDescent="0.25">
      <c r="E16" s="3" t="s">
        <v>104</v>
      </c>
      <c r="G16" t="s">
        <v>104</v>
      </c>
      <c r="I16" t="s">
        <v>105</v>
      </c>
      <c r="N16" s="4" t="s">
        <v>49</v>
      </c>
      <c r="O16" s="5">
        <v>6</v>
      </c>
      <c r="P16" s="6">
        <v>10</v>
      </c>
      <c r="Q16" s="3" t="s">
        <v>106</v>
      </c>
      <c r="R16" s="6">
        <v>34</v>
      </c>
      <c r="S16" s="3" t="s">
        <v>107</v>
      </c>
    </row>
    <row r="17" spans="1:19" x14ac:dyDescent="0.25">
      <c r="E17" t="s">
        <v>108</v>
      </c>
      <c r="I17" t="s">
        <v>109</v>
      </c>
      <c r="N17" s="4" t="s">
        <v>96</v>
      </c>
      <c r="O17" s="5">
        <v>2</v>
      </c>
      <c r="P17" s="6">
        <v>11</v>
      </c>
      <c r="Q17" s="3" t="s">
        <v>110</v>
      </c>
      <c r="R17" s="6"/>
    </row>
    <row r="18" spans="1:19" x14ac:dyDescent="0.25">
      <c r="A18" s="8" t="s">
        <v>111</v>
      </c>
      <c r="B18" s="2"/>
      <c r="C18" s="2"/>
      <c r="N18" s="7" t="s">
        <v>47</v>
      </c>
      <c r="O18" s="5">
        <v>1</v>
      </c>
      <c r="P18" s="6">
        <v>12</v>
      </c>
      <c r="Q18" s="3" t="s">
        <v>112</v>
      </c>
      <c r="R18" s="6"/>
    </row>
    <row r="19" spans="1:19" x14ac:dyDescent="0.25">
      <c r="A19" t="s">
        <v>113</v>
      </c>
      <c r="I19" s="2" t="s">
        <v>114</v>
      </c>
      <c r="J19" s="2"/>
      <c r="N19" s="4" t="s">
        <v>102</v>
      </c>
      <c r="O19" s="5">
        <v>2</v>
      </c>
      <c r="P19" s="6">
        <v>13</v>
      </c>
      <c r="Q19" s="3" t="s">
        <v>115</v>
      </c>
      <c r="R19" s="6"/>
      <c r="S19" s="2" t="s">
        <v>116</v>
      </c>
    </row>
    <row r="20" spans="1:19" x14ac:dyDescent="0.25">
      <c r="A20" t="s">
        <v>117</v>
      </c>
      <c r="E20" t="s">
        <v>100</v>
      </c>
      <c r="I20" t="s">
        <v>869</v>
      </c>
      <c r="N20" s="4" t="s">
        <v>65</v>
      </c>
      <c r="O20" s="5">
        <v>4</v>
      </c>
      <c r="P20" s="6"/>
      <c r="R20" s="6">
        <v>35</v>
      </c>
      <c r="S20" s="3" t="s">
        <v>53</v>
      </c>
    </row>
    <row r="21" spans="1:19" x14ac:dyDescent="0.25">
      <c r="A21" t="s">
        <v>118</v>
      </c>
      <c r="E21" t="s">
        <v>104</v>
      </c>
      <c r="I21" t="s">
        <v>119</v>
      </c>
      <c r="N21" s="4" t="s">
        <v>120</v>
      </c>
      <c r="O21" s="5">
        <v>3</v>
      </c>
      <c r="P21" s="6"/>
      <c r="R21" s="6">
        <v>36</v>
      </c>
      <c r="S21" s="3" t="s">
        <v>69</v>
      </c>
    </row>
    <row r="22" spans="1:19" x14ac:dyDescent="0.25">
      <c r="A22" t="s">
        <v>121</v>
      </c>
      <c r="E22" t="s">
        <v>122</v>
      </c>
      <c r="I22" t="s">
        <v>123</v>
      </c>
      <c r="N22" s="4" t="s">
        <v>106</v>
      </c>
      <c r="O22" s="5">
        <v>2</v>
      </c>
      <c r="P22" s="6"/>
      <c r="Q22" s="8" t="s">
        <v>124</v>
      </c>
      <c r="R22" s="6">
        <v>37</v>
      </c>
      <c r="S22" s="3" t="s">
        <v>79</v>
      </c>
    </row>
    <row r="23" spans="1:19" x14ac:dyDescent="0.25">
      <c r="A23" t="s">
        <v>869</v>
      </c>
      <c r="I23" t="s">
        <v>870</v>
      </c>
      <c r="N23" s="4" t="s">
        <v>125</v>
      </c>
      <c r="O23" s="5">
        <v>5</v>
      </c>
      <c r="P23" s="6">
        <v>14</v>
      </c>
      <c r="Q23" s="3" t="s">
        <v>73</v>
      </c>
      <c r="R23" s="6">
        <v>38</v>
      </c>
      <c r="S23" s="3" t="s">
        <v>125</v>
      </c>
    </row>
    <row r="24" spans="1:19" x14ac:dyDescent="0.25">
      <c r="A24" t="s">
        <v>126</v>
      </c>
      <c r="I24" t="s">
        <v>871</v>
      </c>
      <c r="N24" s="4" t="s">
        <v>70</v>
      </c>
      <c r="O24" s="5">
        <v>4</v>
      </c>
      <c r="P24" s="6">
        <v>15</v>
      </c>
      <c r="Q24" s="3" t="s">
        <v>120</v>
      </c>
      <c r="R24" s="6">
        <v>39</v>
      </c>
      <c r="S24" s="3" t="s">
        <v>127</v>
      </c>
    </row>
    <row r="25" spans="1:19" x14ac:dyDescent="0.25">
      <c r="I25" t="s">
        <v>872</v>
      </c>
      <c r="N25" s="4" t="s">
        <v>127</v>
      </c>
      <c r="O25" s="5">
        <v>5</v>
      </c>
      <c r="P25" s="6">
        <v>16</v>
      </c>
      <c r="Q25" s="3" t="s">
        <v>128</v>
      </c>
      <c r="R25" s="6">
        <v>40</v>
      </c>
      <c r="S25" s="3" t="s">
        <v>129</v>
      </c>
    </row>
    <row r="26" spans="1:19" x14ac:dyDescent="0.25">
      <c r="A26" s="2" t="s">
        <v>130</v>
      </c>
      <c r="B26" s="2"/>
      <c r="C26" s="2"/>
      <c r="D26" s="2"/>
      <c r="N26" s="4" t="s">
        <v>129</v>
      </c>
      <c r="O26" s="5">
        <v>5</v>
      </c>
      <c r="P26" s="6">
        <v>17</v>
      </c>
      <c r="Q26" s="3" t="s">
        <v>131</v>
      </c>
      <c r="R26" s="6">
        <v>41</v>
      </c>
      <c r="S26" s="3" t="s">
        <v>132</v>
      </c>
    </row>
    <row r="27" spans="1:19" x14ac:dyDescent="0.25">
      <c r="A27" t="s">
        <v>133</v>
      </c>
      <c r="N27" s="4" t="s">
        <v>74</v>
      </c>
      <c r="O27" s="5">
        <v>4</v>
      </c>
      <c r="P27" s="6">
        <v>18</v>
      </c>
      <c r="Q27" s="3" t="s">
        <v>134</v>
      </c>
      <c r="R27" s="6">
        <v>42</v>
      </c>
      <c r="S27" s="3" t="s">
        <v>135</v>
      </c>
    </row>
    <row r="28" spans="1:19" x14ac:dyDescent="0.25">
      <c r="A28" t="s">
        <v>136</v>
      </c>
      <c r="N28" s="7" t="s">
        <v>54</v>
      </c>
      <c r="O28" s="5">
        <v>1</v>
      </c>
      <c r="P28" s="6">
        <v>19</v>
      </c>
      <c r="Q28" s="3" t="s">
        <v>137</v>
      </c>
      <c r="R28" s="6">
        <v>43</v>
      </c>
      <c r="S28" s="3" t="s">
        <v>138</v>
      </c>
    </row>
    <row r="29" spans="1:19" x14ac:dyDescent="0.25">
      <c r="A29" t="s">
        <v>139</v>
      </c>
      <c r="E29" s="2" t="s">
        <v>140</v>
      </c>
      <c r="N29" s="4" t="s">
        <v>132</v>
      </c>
      <c r="O29" s="5">
        <v>5</v>
      </c>
      <c r="P29" s="6">
        <v>20</v>
      </c>
      <c r="Q29" s="3" t="s">
        <v>141</v>
      </c>
      <c r="R29" s="6">
        <v>44</v>
      </c>
      <c r="S29" s="3" t="s">
        <v>142</v>
      </c>
    </row>
    <row r="30" spans="1:19" x14ac:dyDescent="0.25">
      <c r="A30" t="s">
        <v>143</v>
      </c>
      <c r="E30" t="s">
        <v>144</v>
      </c>
      <c r="N30" s="4" t="s">
        <v>56</v>
      </c>
      <c r="O30" s="5">
        <v>6</v>
      </c>
      <c r="P30" s="6">
        <v>21</v>
      </c>
      <c r="Q30" s="3" t="s">
        <v>145</v>
      </c>
    </row>
    <row r="31" spans="1:19" x14ac:dyDescent="0.25">
      <c r="A31" t="s">
        <v>146</v>
      </c>
      <c r="E31" t="s">
        <v>147</v>
      </c>
      <c r="N31" s="4" t="s">
        <v>61</v>
      </c>
      <c r="O31" s="5">
        <v>6</v>
      </c>
    </row>
    <row r="32" spans="1:19" x14ac:dyDescent="0.25">
      <c r="A32" t="s">
        <v>148</v>
      </c>
      <c r="E32" t="s">
        <v>149</v>
      </c>
      <c r="N32" s="4" t="s">
        <v>110</v>
      </c>
      <c r="O32" s="5">
        <v>2</v>
      </c>
    </row>
    <row r="33" spans="1:19" x14ac:dyDescent="0.25">
      <c r="E33" t="s">
        <v>150</v>
      </c>
      <c r="N33" s="4" t="s">
        <v>135</v>
      </c>
      <c r="O33" s="5">
        <v>5</v>
      </c>
    </row>
    <row r="34" spans="1:19" x14ac:dyDescent="0.25">
      <c r="A34" s="2" t="s">
        <v>151</v>
      </c>
      <c r="B34" s="2"/>
      <c r="C34" s="2"/>
      <c r="D34" s="2"/>
      <c r="N34" s="4" t="s">
        <v>81</v>
      </c>
      <c r="O34" s="5">
        <v>4</v>
      </c>
    </row>
    <row r="35" spans="1:19" x14ac:dyDescent="0.25">
      <c r="A35" t="s">
        <v>152</v>
      </c>
      <c r="N35" s="4" t="s">
        <v>66</v>
      </c>
      <c r="O35" s="5">
        <v>6</v>
      </c>
    </row>
    <row r="36" spans="1:19" x14ac:dyDescent="0.25">
      <c r="A36" t="s">
        <v>153</v>
      </c>
      <c r="N36" s="4" t="s">
        <v>112</v>
      </c>
      <c r="O36" s="5">
        <v>2</v>
      </c>
    </row>
    <row r="37" spans="1:19" x14ac:dyDescent="0.25">
      <c r="A37" t="s">
        <v>154</v>
      </c>
      <c r="N37" s="4" t="s">
        <v>71</v>
      </c>
      <c r="O37" s="5">
        <v>6</v>
      </c>
      <c r="Q37" s="2" t="s">
        <v>155</v>
      </c>
      <c r="R37" s="2"/>
      <c r="S37" s="2"/>
    </row>
    <row r="38" spans="1:19" x14ac:dyDescent="0.25">
      <c r="A38" t="s">
        <v>156</v>
      </c>
      <c r="F38" s="2" t="s">
        <v>157</v>
      </c>
      <c r="G38" s="2"/>
      <c r="H38" s="2"/>
      <c r="N38" s="7" t="s">
        <v>59</v>
      </c>
      <c r="O38" s="5">
        <v>1</v>
      </c>
      <c r="Q38" t="s">
        <v>158</v>
      </c>
    </row>
    <row r="39" spans="1:19" x14ac:dyDescent="0.25">
      <c r="A39" t="s">
        <v>159</v>
      </c>
      <c r="N39" s="4" t="s">
        <v>115</v>
      </c>
      <c r="O39" s="5">
        <v>2</v>
      </c>
      <c r="Q39" t="s">
        <v>160</v>
      </c>
    </row>
    <row r="40" spans="1:19" x14ac:dyDescent="0.25">
      <c r="A40" t="s">
        <v>161</v>
      </c>
      <c r="N40" s="4" t="s">
        <v>128</v>
      </c>
      <c r="O40" s="5">
        <v>3</v>
      </c>
      <c r="Q40" t="s">
        <v>162</v>
      </c>
    </row>
    <row r="41" spans="1:19" x14ac:dyDescent="0.25">
      <c r="A41" t="s">
        <v>163</v>
      </c>
      <c r="F41" t="s">
        <v>139</v>
      </c>
      <c r="N41" s="4" t="s">
        <v>75</v>
      </c>
      <c r="O41" s="5">
        <v>6</v>
      </c>
      <c r="Q41" t="s">
        <v>164</v>
      </c>
    </row>
    <row r="42" spans="1:19" x14ac:dyDescent="0.25">
      <c r="A42" t="s">
        <v>165</v>
      </c>
      <c r="F42" t="s">
        <v>166</v>
      </c>
      <c r="N42" s="4" t="s">
        <v>86</v>
      </c>
      <c r="O42" s="5">
        <v>4</v>
      </c>
    </row>
    <row r="43" spans="1:19" x14ac:dyDescent="0.25">
      <c r="F43" t="s">
        <v>167</v>
      </c>
      <c r="N43" s="4" t="s">
        <v>138</v>
      </c>
      <c r="O43" s="5">
        <v>5</v>
      </c>
      <c r="Q43" s="2" t="s">
        <v>168</v>
      </c>
      <c r="R43" s="2"/>
      <c r="S43" s="2"/>
    </row>
    <row r="44" spans="1:19" x14ac:dyDescent="0.25">
      <c r="A44" s="2" t="s">
        <v>169</v>
      </c>
      <c r="B44" s="2"/>
      <c r="C44" s="2"/>
      <c r="F44" t="s">
        <v>170</v>
      </c>
      <c r="N44" s="4" t="s">
        <v>82</v>
      </c>
      <c r="O44" s="5">
        <v>6</v>
      </c>
      <c r="Q44" t="s">
        <v>171</v>
      </c>
    </row>
    <row r="45" spans="1:19" x14ac:dyDescent="0.25">
      <c r="A45" t="s">
        <v>172</v>
      </c>
      <c r="F45" t="s">
        <v>173</v>
      </c>
      <c r="N45" s="4" t="s">
        <v>91</v>
      </c>
      <c r="O45" s="5">
        <v>4</v>
      </c>
      <c r="Q45" t="s">
        <v>174</v>
      </c>
    </row>
    <row r="46" spans="1:19" x14ac:dyDescent="0.25">
      <c r="A46" t="s">
        <v>175</v>
      </c>
      <c r="F46" t="s">
        <v>176</v>
      </c>
      <c r="N46" s="4" t="s">
        <v>177</v>
      </c>
      <c r="O46" s="5">
        <v>3</v>
      </c>
      <c r="Q46" t="s">
        <v>178</v>
      </c>
    </row>
    <row r="47" spans="1:19" x14ac:dyDescent="0.25">
      <c r="A47" t="s">
        <v>179</v>
      </c>
      <c r="F47" t="s">
        <v>180</v>
      </c>
      <c r="N47" s="4" t="s">
        <v>134</v>
      </c>
      <c r="O47" s="5">
        <v>3</v>
      </c>
      <c r="Q47" t="s">
        <v>181</v>
      </c>
    </row>
    <row r="48" spans="1:19" x14ac:dyDescent="0.25">
      <c r="A48" t="s">
        <v>182</v>
      </c>
      <c r="F48" t="s">
        <v>183</v>
      </c>
      <c r="N48" s="4" t="s">
        <v>87</v>
      </c>
      <c r="O48" s="5">
        <v>6</v>
      </c>
      <c r="Q48" t="s">
        <v>184</v>
      </c>
    </row>
    <row r="49" spans="1:17" x14ac:dyDescent="0.25">
      <c r="A49" t="s">
        <v>185</v>
      </c>
      <c r="F49" t="s">
        <v>186</v>
      </c>
      <c r="N49" s="4" t="s">
        <v>97</v>
      </c>
      <c r="O49" s="5">
        <v>4</v>
      </c>
      <c r="Q49" t="s">
        <v>187</v>
      </c>
    </row>
    <row r="50" spans="1:17" x14ac:dyDescent="0.25">
      <c r="F50" t="s">
        <v>188</v>
      </c>
      <c r="N50" s="4" t="s">
        <v>103</v>
      </c>
      <c r="O50" s="5">
        <v>4</v>
      </c>
      <c r="Q50" t="s">
        <v>189</v>
      </c>
    </row>
    <row r="51" spans="1:17" x14ac:dyDescent="0.25">
      <c r="F51" t="s">
        <v>190</v>
      </c>
      <c r="N51" s="4" t="s">
        <v>137</v>
      </c>
      <c r="O51" s="5">
        <v>3</v>
      </c>
      <c r="Q51" t="s">
        <v>191</v>
      </c>
    </row>
    <row r="52" spans="1:17" x14ac:dyDescent="0.25">
      <c r="N52" s="4" t="s">
        <v>107</v>
      </c>
      <c r="O52" s="5">
        <v>4</v>
      </c>
      <c r="Q52" t="s">
        <v>192</v>
      </c>
    </row>
    <row r="53" spans="1:17" x14ac:dyDescent="0.25">
      <c r="N53" s="4" t="s">
        <v>142</v>
      </c>
      <c r="O53" s="5">
        <v>5</v>
      </c>
    </row>
    <row r="54" spans="1:17" x14ac:dyDescent="0.25">
      <c r="N54" s="4" t="s">
        <v>92</v>
      </c>
      <c r="O54" s="5">
        <v>6</v>
      </c>
    </row>
    <row r="55" spans="1:17" x14ac:dyDescent="0.25">
      <c r="N55" s="7" t="s">
        <v>64</v>
      </c>
      <c r="O55" s="5">
        <v>1</v>
      </c>
    </row>
    <row r="56" spans="1:17" x14ac:dyDescent="0.25">
      <c r="N56" s="4" t="s">
        <v>141</v>
      </c>
      <c r="O56" s="5">
        <v>3</v>
      </c>
    </row>
    <row r="57" spans="1:17" x14ac:dyDescent="0.25">
      <c r="F57" s="9" t="s">
        <v>193</v>
      </c>
      <c r="G57" s="9"/>
      <c r="N57" s="4" t="s">
        <v>145</v>
      </c>
      <c r="O57" s="5">
        <v>3</v>
      </c>
    </row>
    <row r="58" spans="1:17" x14ac:dyDescent="0.25">
      <c r="F58" t="s">
        <v>194</v>
      </c>
      <c r="N58" s="4" t="s">
        <v>98</v>
      </c>
      <c r="O58" s="5">
        <v>6</v>
      </c>
    </row>
    <row r="59" spans="1:17" x14ac:dyDescent="0.25">
      <c r="B59" s="2" t="s">
        <v>195</v>
      </c>
      <c r="C59" s="2"/>
      <c r="F59" t="s">
        <v>196</v>
      </c>
    </row>
    <row r="60" spans="1:17" x14ac:dyDescent="0.25">
      <c r="B60" t="s">
        <v>197</v>
      </c>
      <c r="F60" t="s">
        <v>198</v>
      </c>
    </row>
    <row r="61" spans="1:17" x14ac:dyDescent="0.25">
      <c r="B61" t="s">
        <v>199</v>
      </c>
      <c r="F61" t="s">
        <v>200</v>
      </c>
    </row>
    <row r="62" spans="1:17" x14ac:dyDescent="0.25">
      <c r="B62" t="s">
        <v>201</v>
      </c>
      <c r="F62" t="s">
        <v>202</v>
      </c>
    </row>
    <row r="63" spans="1:17" x14ac:dyDescent="0.25">
      <c r="B63" t="s">
        <v>203</v>
      </c>
      <c r="F63" t="s">
        <v>204</v>
      </c>
    </row>
    <row r="64" spans="1:17" x14ac:dyDescent="0.25">
      <c r="F64" t="s">
        <v>205</v>
      </c>
    </row>
    <row r="65" spans="5:22" x14ac:dyDescent="0.25">
      <c r="F65" t="s">
        <v>206</v>
      </c>
      <c r="K65" s="2" t="s">
        <v>207</v>
      </c>
      <c r="L65" s="2"/>
      <c r="M65" s="2"/>
      <c r="N65" s="2"/>
      <c r="O65" s="2"/>
      <c r="S65" s="2" t="s">
        <v>208</v>
      </c>
      <c r="T65" s="2"/>
    </row>
    <row r="66" spans="5:22" x14ac:dyDescent="0.25">
      <c r="F66" t="s">
        <v>209</v>
      </c>
      <c r="S66" t="s">
        <v>210</v>
      </c>
    </row>
    <row r="67" spans="5:22" x14ac:dyDescent="0.25">
      <c r="K67" t="s">
        <v>211</v>
      </c>
      <c r="S67" t="s">
        <v>212</v>
      </c>
    </row>
    <row r="68" spans="5:22" x14ac:dyDescent="0.25">
      <c r="K68" t="s">
        <v>213</v>
      </c>
      <c r="S68" t="s">
        <v>118</v>
      </c>
    </row>
    <row r="69" spans="5:22" x14ac:dyDescent="0.25">
      <c r="K69" t="s">
        <v>214</v>
      </c>
      <c r="S69" t="s">
        <v>121</v>
      </c>
    </row>
    <row r="70" spans="5:22" x14ac:dyDescent="0.25">
      <c r="K70" t="s">
        <v>215</v>
      </c>
      <c r="S70" t="s">
        <v>869</v>
      </c>
    </row>
    <row r="71" spans="5:22" x14ac:dyDescent="0.25">
      <c r="K71" t="s">
        <v>216</v>
      </c>
      <c r="S71" t="s">
        <v>192</v>
      </c>
    </row>
    <row r="72" spans="5:22" x14ac:dyDescent="0.25">
      <c r="K72" t="s">
        <v>217</v>
      </c>
    </row>
    <row r="73" spans="5:22" x14ac:dyDescent="0.25">
      <c r="K73" t="s">
        <v>218</v>
      </c>
    </row>
    <row r="74" spans="5:22" x14ac:dyDescent="0.25">
      <c r="K74" t="s">
        <v>219</v>
      </c>
    </row>
    <row r="75" spans="5:22" x14ac:dyDescent="0.25">
      <c r="K75" t="s">
        <v>220</v>
      </c>
    </row>
    <row r="77" spans="5:22" x14ac:dyDescent="0.25">
      <c r="E77" s="2" t="s">
        <v>221</v>
      </c>
      <c r="F77" s="2"/>
      <c r="G77" s="2"/>
      <c r="H77" s="2"/>
    </row>
    <row r="78" spans="5:22" x14ac:dyDescent="0.25">
      <c r="E78" t="s">
        <v>222</v>
      </c>
      <c r="S78" s="2" t="s">
        <v>223</v>
      </c>
      <c r="T78" s="2"/>
      <c r="U78" s="2"/>
      <c r="V78" s="2"/>
    </row>
    <row r="79" spans="5:22" x14ac:dyDescent="0.25">
      <c r="E79" t="s">
        <v>224</v>
      </c>
      <c r="S79" t="s">
        <v>225</v>
      </c>
    </row>
    <row r="80" spans="5:22" x14ac:dyDescent="0.25">
      <c r="E80" t="s">
        <v>226</v>
      </c>
      <c r="S80" t="s">
        <v>227</v>
      </c>
    </row>
    <row r="81" spans="5:20" x14ac:dyDescent="0.25">
      <c r="E81" t="s">
        <v>228</v>
      </c>
      <c r="S81" t="s">
        <v>229</v>
      </c>
    </row>
    <row r="82" spans="5:20" x14ac:dyDescent="0.25">
      <c r="S82" t="s">
        <v>230</v>
      </c>
    </row>
    <row r="83" spans="5:20" x14ac:dyDescent="0.25">
      <c r="O83" t="s">
        <v>521</v>
      </c>
      <c r="S83" t="s">
        <v>231</v>
      </c>
    </row>
    <row r="84" spans="5:20" x14ac:dyDescent="0.25">
      <c r="E84" s="2" t="s">
        <v>232</v>
      </c>
      <c r="F84" s="2"/>
      <c r="G84" s="2"/>
      <c r="H84" s="2"/>
    </row>
    <row r="85" spans="5:20" x14ac:dyDescent="0.25">
      <c r="E85" t="s">
        <v>233</v>
      </c>
    </row>
    <row r="86" spans="5:20" x14ac:dyDescent="0.25">
      <c r="E86" t="s">
        <v>234</v>
      </c>
    </row>
    <row r="87" spans="5:20" x14ac:dyDescent="0.25">
      <c r="E87" t="s">
        <v>235</v>
      </c>
    </row>
    <row r="88" spans="5:20" x14ac:dyDescent="0.25">
      <c r="N88" s="94" t="s">
        <v>361</v>
      </c>
      <c r="R88" s="2" t="s">
        <v>519</v>
      </c>
      <c r="S88" s="2"/>
      <c r="T88" s="2"/>
    </row>
    <row r="89" spans="5:20" x14ac:dyDescent="0.25">
      <c r="N89" s="95" t="s">
        <v>362</v>
      </c>
      <c r="R89" s="3" t="s">
        <v>522</v>
      </c>
    </row>
    <row r="90" spans="5:20" x14ac:dyDescent="0.25">
      <c r="N90" s="95" t="s">
        <v>363</v>
      </c>
      <c r="R90" s="3" t="s">
        <v>520</v>
      </c>
    </row>
    <row r="91" spans="5:20" x14ac:dyDescent="0.25">
      <c r="N91" s="95" t="s">
        <v>364</v>
      </c>
      <c r="R91" s="3" t="s">
        <v>518</v>
      </c>
    </row>
    <row r="92" spans="5:20" x14ac:dyDescent="0.25">
      <c r="R92" s="3" t="s">
        <v>192</v>
      </c>
    </row>
    <row r="98" spans="1:20" x14ac:dyDescent="0.25">
      <c r="A98" t="s">
        <v>385</v>
      </c>
      <c r="G98" t="s">
        <v>386</v>
      </c>
      <c r="K98" t="s">
        <v>387</v>
      </c>
    </row>
    <row r="99" spans="1:20" x14ac:dyDescent="0.25">
      <c r="A99" t="s">
        <v>388</v>
      </c>
      <c r="G99" t="s">
        <v>389</v>
      </c>
      <c r="K99" t="s">
        <v>390</v>
      </c>
      <c r="P99" t="s">
        <v>343</v>
      </c>
      <c r="T99" t="s">
        <v>158</v>
      </c>
    </row>
    <row r="100" spans="1:20" x14ac:dyDescent="0.25">
      <c r="A100" t="s">
        <v>391</v>
      </c>
      <c r="G100" t="s">
        <v>392</v>
      </c>
      <c r="K100" t="s">
        <v>393</v>
      </c>
      <c r="P100" t="s">
        <v>344</v>
      </c>
      <c r="T100" t="s">
        <v>555</v>
      </c>
    </row>
    <row r="101" spans="1:20" x14ac:dyDescent="0.25">
      <c r="A101" t="s">
        <v>394</v>
      </c>
      <c r="G101" t="s">
        <v>395</v>
      </c>
      <c r="K101" t="s">
        <v>396</v>
      </c>
      <c r="P101" t="s">
        <v>397</v>
      </c>
      <c r="T101" t="s">
        <v>162</v>
      </c>
    </row>
    <row r="102" spans="1:20" x14ac:dyDescent="0.25">
      <c r="A102" t="s">
        <v>398</v>
      </c>
      <c r="G102" t="s">
        <v>399</v>
      </c>
      <c r="K102" t="s">
        <v>400</v>
      </c>
      <c r="P102" t="s">
        <v>346</v>
      </c>
      <c r="T102" t="s">
        <v>164</v>
      </c>
    </row>
    <row r="103" spans="1:20" x14ac:dyDescent="0.25">
      <c r="A103" t="s">
        <v>401</v>
      </c>
      <c r="G103" t="s">
        <v>399</v>
      </c>
      <c r="K103" t="s">
        <v>402</v>
      </c>
      <c r="P103" t="s">
        <v>347</v>
      </c>
    </row>
    <row r="104" spans="1:20" x14ac:dyDescent="0.25">
      <c r="A104" t="s">
        <v>192</v>
      </c>
      <c r="K104" t="s">
        <v>654</v>
      </c>
      <c r="P104" t="s">
        <v>348</v>
      </c>
    </row>
    <row r="105" spans="1:20" x14ac:dyDescent="0.25">
      <c r="P105" t="s">
        <v>349</v>
      </c>
    </row>
    <row r="106" spans="1:20" ht="60" x14ac:dyDescent="0.25">
      <c r="G106" t="s">
        <v>386</v>
      </c>
      <c r="K106" s="177" t="s">
        <v>403</v>
      </c>
      <c r="L106" s="177"/>
      <c r="M106" s="177"/>
      <c r="N106" s="177"/>
      <c r="O106" s="177"/>
      <c r="P106" t="s">
        <v>350</v>
      </c>
      <c r="Q106" s="177"/>
      <c r="R106" s="177"/>
      <c r="S106" s="177"/>
    </row>
    <row r="107" spans="1:20" ht="72" x14ac:dyDescent="0.25">
      <c r="A107" t="s">
        <v>404</v>
      </c>
      <c r="G107" t="s">
        <v>389</v>
      </c>
      <c r="K107" s="177" t="s">
        <v>405</v>
      </c>
      <c r="L107" s="177"/>
      <c r="M107" s="177"/>
      <c r="N107" s="177"/>
      <c r="O107" s="177"/>
      <c r="P107" t="s">
        <v>351</v>
      </c>
      <c r="Q107" s="177"/>
      <c r="R107" s="177"/>
      <c r="S107" s="177"/>
    </row>
    <row r="108" spans="1:20" ht="84" x14ac:dyDescent="0.25">
      <c r="A108" t="s">
        <v>406</v>
      </c>
      <c r="G108" t="s">
        <v>392</v>
      </c>
      <c r="K108" s="177" t="s">
        <v>407</v>
      </c>
      <c r="L108" s="177"/>
      <c r="M108" s="177"/>
      <c r="N108" s="177"/>
      <c r="O108" s="177"/>
      <c r="P108" t="s">
        <v>408</v>
      </c>
      <c r="Q108" s="177"/>
      <c r="R108" s="177"/>
      <c r="S108" s="177"/>
    </row>
    <row r="109" spans="1:20" ht="96" x14ac:dyDescent="0.25">
      <c r="A109" t="s">
        <v>409</v>
      </c>
      <c r="G109" t="s">
        <v>395</v>
      </c>
      <c r="K109" s="177" t="s">
        <v>410</v>
      </c>
      <c r="L109" s="177"/>
      <c r="M109" s="177"/>
      <c r="N109" s="177"/>
      <c r="O109" s="177"/>
      <c r="P109" t="s">
        <v>164</v>
      </c>
      <c r="Q109" s="177"/>
      <c r="R109" s="177"/>
      <c r="S109" s="177"/>
    </row>
    <row r="110" spans="1:20" ht="120" x14ac:dyDescent="0.25">
      <c r="A110" t="s">
        <v>411</v>
      </c>
      <c r="G110" t="s">
        <v>399</v>
      </c>
      <c r="K110" s="177" t="s">
        <v>523</v>
      </c>
      <c r="L110" s="177"/>
      <c r="M110" s="177"/>
      <c r="N110" s="177"/>
      <c r="O110" s="177"/>
      <c r="P110" s="177"/>
      <c r="Q110" s="177"/>
      <c r="R110" s="177"/>
      <c r="S110" s="177"/>
    </row>
    <row r="111" spans="1:20" ht="96" x14ac:dyDescent="0.25">
      <c r="A111" t="s">
        <v>413</v>
      </c>
      <c r="G111" t="s">
        <v>399</v>
      </c>
      <c r="K111" s="178" t="s">
        <v>414</v>
      </c>
      <c r="L111" s="178"/>
      <c r="M111" s="178"/>
      <c r="N111" s="178"/>
      <c r="O111" s="178"/>
      <c r="P111" s="178"/>
      <c r="Q111" s="178"/>
      <c r="R111" s="178"/>
      <c r="S111" s="178"/>
    </row>
    <row r="112" spans="1:20" ht="72" x14ac:dyDescent="0.25">
      <c r="A112" t="s">
        <v>415</v>
      </c>
      <c r="K112" s="178" t="s">
        <v>524</v>
      </c>
      <c r="L112" s="178"/>
      <c r="M112" s="178"/>
      <c r="N112" s="178"/>
      <c r="O112" s="178"/>
      <c r="P112" t="s">
        <v>417</v>
      </c>
      <c r="Q112" s="178"/>
      <c r="R112" s="178"/>
      <c r="S112" s="178"/>
    </row>
    <row r="113" spans="1:19" ht="60" x14ac:dyDescent="0.25">
      <c r="A113" t="s">
        <v>418</v>
      </c>
      <c r="K113" s="178" t="s">
        <v>419</v>
      </c>
      <c r="L113" s="178"/>
      <c r="M113" s="178"/>
      <c r="N113" s="178"/>
      <c r="O113" s="178"/>
      <c r="P113" t="s">
        <v>420</v>
      </c>
      <c r="Q113" s="178"/>
      <c r="R113" s="178"/>
      <c r="S113" s="178"/>
    </row>
    <row r="114" spans="1:19" x14ac:dyDescent="0.25">
      <c r="A114" t="s">
        <v>421</v>
      </c>
      <c r="K114" s="179" t="s">
        <v>209</v>
      </c>
      <c r="L114" s="179"/>
      <c r="M114" s="179"/>
      <c r="N114" s="179"/>
      <c r="O114" s="179"/>
      <c r="P114" t="s">
        <v>422</v>
      </c>
      <c r="Q114" s="179"/>
      <c r="R114" s="179"/>
      <c r="S114" s="179"/>
    </row>
    <row r="115" spans="1:19" x14ac:dyDescent="0.25">
      <c r="A115" t="s">
        <v>209</v>
      </c>
      <c r="G115" t="s">
        <v>194</v>
      </c>
      <c r="P115" t="s">
        <v>423</v>
      </c>
    </row>
    <row r="116" spans="1:19" x14ac:dyDescent="0.25">
      <c r="G116" t="s">
        <v>196</v>
      </c>
      <c r="P116" t="s">
        <v>424</v>
      </c>
    </row>
    <row r="117" spans="1:19" x14ac:dyDescent="0.25">
      <c r="G117" t="s">
        <v>198</v>
      </c>
      <c r="P117" t="s">
        <v>431</v>
      </c>
    </row>
    <row r="118" spans="1:19" x14ac:dyDescent="0.25">
      <c r="G118" t="s">
        <v>426</v>
      </c>
      <c r="P118" t="s">
        <v>425</v>
      </c>
    </row>
    <row r="119" spans="1:19" x14ac:dyDescent="0.25">
      <c r="G119" t="s">
        <v>202</v>
      </c>
      <c r="P119" t="s">
        <v>52</v>
      </c>
    </row>
    <row r="120" spans="1:19" x14ac:dyDescent="0.25">
      <c r="G120" t="s">
        <v>204</v>
      </c>
    </row>
    <row r="121" spans="1:19" x14ac:dyDescent="0.25">
      <c r="G121" t="s">
        <v>205</v>
      </c>
    </row>
    <row r="122" spans="1:19" x14ac:dyDescent="0.25">
      <c r="G122" t="s">
        <v>206</v>
      </c>
    </row>
    <row r="123" spans="1:19" x14ac:dyDescent="0.25">
      <c r="G123" t="s">
        <v>209</v>
      </c>
      <c r="P123" t="s">
        <v>617</v>
      </c>
    </row>
    <row r="124" spans="1:19" x14ac:dyDescent="0.25">
      <c r="K124" t="s">
        <v>387</v>
      </c>
      <c r="P124" t="s">
        <v>618</v>
      </c>
    </row>
    <row r="125" spans="1:19" x14ac:dyDescent="0.25">
      <c r="K125" t="s">
        <v>390</v>
      </c>
      <c r="P125" t="s">
        <v>619</v>
      </c>
    </row>
    <row r="126" spans="1:19" x14ac:dyDescent="0.25">
      <c r="K126" t="s">
        <v>393</v>
      </c>
      <c r="P126" t="s">
        <v>620</v>
      </c>
    </row>
    <row r="127" spans="1:19" x14ac:dyDescent="0.25">
      <c r="K127" t="s">
        <v>396</v>
      </c>
    </row>
    <row r="128" spans="1:19" x14ac:dyDescent="0.25">
      <c r="K128" t="s">
        <v>400</v>
      </c>
    </row>
    <row r="129" spans="1:16" x14ac:dyDescent="0.25">
      <c r="K129" t="s">
        <v>402</v>
      </c>
    </row>
    <row r="130" spans="1:16" x14ac:dyDescent="0.25">
      <c r="K130" t="s">
        <v>654</v>
      </c>
      <c r="P130" t="s">
        <v>623</v>
      </c>
    </row>
    <row r="131" spans="1:16" x14ac:dyDescent="0.25">
      <c r="P131" t="s">
        <v>624</v>
      </c>
    </row>
    <row r="132" spans="1:16" x14ac:dyDescent="0.25">
      <c r="E132" t="s">
        <v>100</v>
      </c>
      <c r="P132" t="s">
        <v>625</v>
      </c>
    </row>
    <row r="133" spans="1:16" x14ac:dyDescent="0.25">
      <c r="E133" t="s">
        <v>104</v>
      </c>
      <c r="P133" t="s">
        <v>626</v>
      </c>
    </row>
    <row r="134" spans="1:16" x14ac:dyDescent="0.25">
      <c r="E134" t="s">
        <v>427</v>
      </c>
      <c r="P134" t="s">
        <v>627</v>
      </c>
    </row>
    <row r="135" spans="1:16" x14ac:dyDescent="0.25">
      <c r="K135" t="s">
        <v>385</v>
      </c>
    </row>
    <row r="136" spans="1:16" ht="15" customHeight="1" x14ac:dyDescent="0.25">
      <c r="K136" t="s">
        <v>445</v>
      </c>
    </row>
    <row r="137" spans="1:16" ht="15" customHeight="1" x14ac:dyDescent="0.25">
      <c r="A137" s="3" t="s">
        <v>428</v>
      </c>
      <c r="K137" t="s">
        <v>446</v>
      </c>
    </row>
    <row r="138" spans="1:16" ht="15" customHeight="1" x14ac:dyDescent="0.25">
      <c r="A138" s="3" t="s">
        <v>218</v>
      </c>
      <c r="K138" t="s">
        <v>447</v>
      </c>
    </row>
    <row r="139" spans="1:16" ht="15" customHeight="1" x14ac:dyDescent="0.25">
      <c r="A139" s="3" t="s">
        <v>429</v>
      </c>
    </row>
    <row r="140" spans="1:16" x14ac:dyDescent="0.25">
      <c r="A140" s="3" t="s">
        <v>430</v>
      </c>
      <c r="F140" t="s">
        <v>575</v>
      </c>
    </row>
    <row r="141" spans="1:16" x14ac:dyDescent="0.25">
      <c r="F141" t="s">
        <v>576</v>
      </c>
    </row>
    <row r="142" spans="1:16" x14ac:dyDescent="0.25">
      <c r="F142" t="s">
        <v>577</v>
      </c>
    </row>
    <row r="146" spans="1:17" x14ac:dyDescent="0.25">
      <c r="G146" s="2" t="s">
        <v>596</v>
      </c>
      <c r="H146" s="2"/>
      <c r="I146" s="2"/>
      <c r="J146" s="2"/>
      <c r="K146" s="2"/>
      <c r="O146" s="2" t="s">
        <v>597</v>
      </c>
      <c r="P146" s="2"/>
    </row>
    <row r="147" spans="1:17" x14ac:dyDescent="0.25">
      <c r="A147" s="572"/>
      <c r="B147" s="572"/>
      <c r="C147" s="572"/>
      <c r="D147" s="572"/>
      <c r="G147" t="s">
        <v>593</v>
      </c>
      <c r="O147" s="574" t="s">
        <v>38</v>
      </c>
      <c r="P147" s="573"/>
    </row>
    <row r="148" spans="1:17" x14ac:dyDescent="0.25">
      <c r="A148" s="572"/>
      <c r="B148" s="572"/>
      <c r="C148" s="572"/>
      <c r="D148" s="572"/>
      <c r="G148" t="s">
        <v>601</v>
      </c>
      <c r="O148" s="574" t="s">
        <v>45</v>
      </c>
      <c r="P148" s="573"/>
    </row>
    <row r="149" spans="1:17" x14ac:dyDescent="0.25">
      <c r="A149" s="572"/>
      <c r="B149" s="572"/>
      <c r="C149" s="572"/>
      <c r="D149" s="572"/>
      <c r="G149" t="s">
        <v>594</v>
      </c>
      <c r="O149" s="574" t="s">
        <v>594</v>
      </c>
      <c r="P149" s="573"/>
    </row>
    <row r="150" spans="1:17" ht="15" customHeight="1" x14ac:dyDescent="0.25">
      <c r="A150" s="572"/>
      <c r="B150" s="572"/>
      <c r="C150" s="572"/>
      <c r="D150" s="572"/>
      <c r="G150" t="s">
        <v>595</v>
      </c>
      <c r="O150" s="574" t="s">
        <v>595</v>
      </c>
      <c r="P150" s="573"/>
    </row>
    <row r="151" spans="1:17" x14ac:dyDescent="0.25">
      <c r="A151" s="572"/>
      <c r="B151" s="572"/>
      <c r="C151" s="572"/>
      <c r="D151" s="572"/>
    </row>
    <row r="152" spans="1:17" x14ac:dyDescent="0.25">
      <c r="A152" s="572"/>
      <c r="B152" s="572"/>
      <c r="C152" s="572"/>
      <c r="D152" s="572"/>
    </row>
    <row r="153" spans="1:17" x14ac:dyDescent="0.25">
      <c r="G153" s="2" t="s">
        <v>602</v>
      </c>
      <c r="H153" s="2"/>
      <c r="I153" s="2"/>
      <c r="J153" s="2"/>
      <c r="K153" s="2"/>
    </row>
    <row r="154" spans="1:17" x14ac:dyDescent="0.25">
      <c r="G154" t="s">
        <v>58</v>
      </c>
      <c r="O154" t="s">
        <v>607</v>
      </c>
      <c r="Q154" t="s">
        <v>607</v>
      </c>
    </row>
    <row r="155" spans="1:17" x14ac:dyDescent="0.25">
      <c r="G155" t="s">
        <v>598</v>
      </c>
      <c r="O155" t="s">
        <v>608</v>
      </c>
      <c r="Q155" t="s">
        <v>610</v>
      </c>
    </row>
    <row r="156" spans="1:17" x14ac:dyDescent="0.25">
      <c r="G156" t="s">
        <v>599</v>
      </c>
      <c r="O156" t="s">
        <v>609</v>
      </c>
      <c r="Q156" t="s">
        <v>611</v>
      </c>
    </row>
    <row r="157" spans="1:17" x14ac:dyDescent="0.25">
      <c r="G157" t="s">
        <v>600</v>
      </c>
    </row>
    <row r="158" spans="1:17" x14ac:dyDescent="0.25">
      <c r="G158" t="s">
        <v>68</v>
      </c>
    </row>
    <row r="159" spans="1:17" x14ac:dyDescent="0.25">
      <c r="G159" t="s">
        <v>51</v>
      </c>
    </row>
    <row r="160" spans="1:17" x14ac:dyDescent="0.25">
      <c r="G160" t="s">
        <v>594</v>
      </c>
    </row>
    <row r="163" spans="7:22" x14ac:dyDescent="0.25">
      <c r="G163" t="s">
        <v>826</v>
      </c>
    </row>
    <row r="164" spans="7:22" x14ac:dyDescent="0.25">
      <c r="G164" t="s">
        <v>823</v>
      </c>
    </row>
    <row r="165" spans="7:22" x14ac:dyDescent="0.25">
      <c r="G165" t="s">
        <v>824</v>
      </c>
    </row>
    <row r="166" spans="7:22" x14ac:dyDescent="0.25">
      <c r="G166" t="s">
        <v>825</v>
      </c>
    </row>
    <row r="168" spans="7:22" ht="26.25" x14ac:dyDescent="0.25">
      <c r="J168" s="3">
        <v>2020</v>
      </c>
      <c r="M168" s="1469" t="s">
        <v>857</v>
      </c>
      <c r="N168" s="1469"/>
      <c r="O168" s="1469"/>
      <c r="V168" s="94" t="s">
        <v>361</v>
      </c>
    </row>
    <row r="169" spans="7:22" x14ac:dyDescent="0.25">
      <c r="J169" s="3">
        <v>2021</v>
      </c>
      <c r="M169" s="781" t="s">
        <v>253</v>
      </c>
      <c r="N169" s="782"/>
      <c r="O169" s="783"/>
      <c r="Q169" s="179" t="s">
        <v>858</v>
      </c>
      <c r="R169" s="179"/>
      <c r="V169" s="95" t="s">
        <v>362</v>
      </c>
    </row>
    <row r="170" spans="7:22" x14ac:dyDescent="0.25">
      <c r="J170" s="3">
        <v>2022</v>
      </c>
      <c r="M170" s="781" t="s">
        <v>254</v>
      </c>
      <c r="N170" s="782"/>
      <c r="O170" s="783"/>
      <c r="Q170" s="784" t="s">
        <v>859</v>
      </c>
      <c r="R170" s="179"/>
      <c r="V170" s="95" t="s">
        <v>363</v>
      </c>
    </row>
    <row r="171" spans="7:22" x14ac:dyDescent="0.25">
      <c r="J171" s="3">
        <v>2023</v>
      </c>
      <c r="M171" s="781" t="s">
        <v>255</v>
      </c>
      <c r="N171" s="782"/>
      <c r="O171" s="783"/>
      <c r="Q171" s="784" t="s">
        <v>860</v>
      </c>
      <c r="R171" s="179"/>
      <c r="V171" s="95" t="s">
        <v>364</v>
      </c>
    </row>
    <row r="172" spans="7:22" x14ac:dyDescent="0.25">
      <c r="J172" s="3">
        <v>2024</v>
      </c>
      <c r="M172" s="781" t="s">
        <v>256</v>
      </c>
      <c r="N172" s="782"/>
      <c r="O172" s="783"/>
      <c r="Q172" s="784" t="s">
        <v>861</v>
      </c>
      <c r="R172" s="179"/>
    </row>
    <row r="173" spans="7:22" x14ac:dyDescent="0.25">
      <c r="J173" s="3">
        <v>2025</v>
      </c>
      <c r="M173" s="781" t="s">
        <v>257</v>
      </c>
      <c r="N173" s="782"/>
      <c r="O173" s="783"/>
      <c r="Q173" s="784" t="s">
        <v>862</v>
      </c>
      <c r="R173" s="179"/>
    </row>
    <row r="174" spans="7:22" x14ac:dyDescent="0.25">
      <c r="J174" s="3">
        <v>2026</v>
      </c>
      <c r="M174" s="781" t="s">
        <v>258</v>
      </c>
      <c r="N174" s="782"/>
      <c r="O174" s="783"/>
      <c r="Q174" s="784" t="s">
        <v>863</v>
      </c>
      <c r="R174" s="179"/>
    </row>
    <row r="175" spans="7:22" x14ac:dyDescent="0.25">
      <c r="J175" s="3">
        <v>2027</v>
      </c>
      <c r="M175" s="781" t="s">
        <v>259</v>
      </c>
      <c r="N175" s="782"/>
      <c r="O175" s="783"/>
      <c r="Q175" s="784" t="s">
        <v>864</v>
      </c>
      <c r="R175" s="179"/>
    </row>
    <row r="176" spans="7:22" x14ac:dyDescent="0.25">
      <c r="J176" s="3">
        <v>2028</v>
      </c>
      <c r="M176" s="781" t="s">
        <v>260</v>
      </c>
      <c r="N176" s="782"/>
      <c r="O176" s="783"/>
      <c r="Q176" s="784" t="s">
        <v>865</v>
      </c>
      <c r="R176" s="179"/>
    </row>
    <row r="177" spans="10:18" x14ac:dyDescent="0.25">
      <c r="J177" s="3">
        <v>2029</v>
      </c>
      <c r="M177" s="781" t="s">
        <v>209</v>
      </c>
      <c r="N177" s="782"/>
      <c r="O177" s="783"/>
      <c r="Q177" s="784" t="s">
        <v>866</v>
      </c>
      <c r="R177" s="179"/>
    </row>
    <row r="178" spans="10:18" x14ac:dyDescent="0.25">
      <c r="J178" s="3">
        <v>2030</v>
      </c>
    </row>
  </sheetData>
  <sheetProtection algorithmName="SHA-512" hashValue="XwQ6KOQmDKh0aRpVjGBZ2YnZO241D/IP6a2zJh27XYqg4a/oyM0T9yFWmUZsbGGOL+JCSbXV0BkujpMLr1gmkg==" saltValue="c9WR4Qz3ydbTrwzs9CKEVg==" spinCount="100000" sheet="1" objects="1" scenarios="1"/>
  <mergeCells count="1">
    <mergeCell ref="M168:O168"/>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C256-3AF2-41EC-A546-2A5EC21CB77C}">
  <sheetPr>
    <tabColor theme="5" tint="-0.499984740745262"/>
  </sheetPr>
  <dimension ref="A1:EI69"/>
  <sheetViews>
    <sheetView workbookViewId="0">
      <selection activeCell="I14" sqref="I14"/>
    </sheetView>
  </sheetViews>
  <sheetFormatPr defaultRowHeight="15" x14ac:dyDescent="0.25"/>
  <cols>
    <col min="1" max="1" width="5.28515625" customWidth="1"/>
    <col min="2" max="2" width="13.85546875" customWidth="1"/>
    <col min="3" max="3" width="15.28515625" customWidth="1"/>
    <col min="4" max="4" width="12.42578125" customWidth="1"/>
    <col min="5" max="5" width="12.7109375" customWidth="1"/>
    <col min="6" max="6" width="12.5703125" customWidth="1"/>
    <col min="7" max="7" width="12.28515625" customWidth="1"/>
    <col min="8" max="8" width="12.42578125" customWidth="1"/>
    <col min="9" max="9" width="9.7109375" customWidth="1"/>
    <col min="10" max="10" width="11.42578125" customWidth="1"/>
    <col min="11" max="11" width="12.140625" customWidth="1"/>
    <col min="12" max="12" width="12.5703125" customWidth="1"/>
    <col min="13" max="13" width="15.140625" customWidth="1"/>
    <col min="14" max="14" width="13" customWidth="1"/>
    <col min="15" max="15" width="13.42578125" customWidth="1"/>
  </cols>
  <sheetData>
    <row r="1" spans="1:139" ht="60" customHeight="1" x14ac:dyDescent="0.25">
      <c r="A1" s="22" t="s">
        <v>245</v>
      </c>
      <c r="B1" s="1543" t="s">
        <v>275</v>
      </c>
      <c r="C1" s="1543"/>
      <c r="D1" s="1544" t="s">
        <v>276</v>
      </c>
      <c r="E1" s="1544"/>
      <c r="F1" s="1550" t="s">
        <v>277</v>
      </c>
      <c r="G1" s="1551"/>
      <c r="H1" s="1545" t="s">
        <v>278</v>
      </c>
      <c r="I1" s="1546"/>
      <c r="J1" s="1547"/>
      <c r="K1" s="1548" t="s">
        <v>279</v>
      </c>
      <c r="L1" s="1549"/>
      <c r="M1" s="1550" t="s">
        <v>280</v>
      </c>
      <c r="N1" s="1551"/>
      <c r="O1" s="1510" t="s">
        <v>281</v>
      </c>
      <c r="P1" s="1511"/>
      <c r="Q1" s="1487" t="s">
        <v>282</v>
      </c>
      <c r="R1" s="1489"/>
      <c r="S1" s="1538" t="s">
        <v>283</v>
      </c>
      <c r="T1" s="1539"/>
      <c r="U1" s="1540"/>
      <c r="V1" s="1541" t="s">
        <v>284</v>
      </c>
      <c r="W1" s="1542"/>
      <c r="X1" s="1484" t="s">
        <v>285</v>
      </c>
      <c r="Y1" s="1485"/>
      <c r="Z1" s="1485"/>
      <c r="AA1" s="1486"/>
      <c r="AB1" s="1474" t="s">
        <v>286</v>
      </c>
      <c r="AC1" s="1475"/>
      <c r="AD1" s="1487" t="s">
        <v>287</v>
      </c>
      <c r="AE1" s="1488"/>
      <c r="AF1" s="1489"/>
      <c r="AG1" s="1490" t="s">
        <v>288</v>
      </c>
      <c r="AH1" s="1491"/>
      <c r="AI1" s="1492"/>
      <c r="AJ1" s="1474" t="s">
        <v>289</v>
      </c>
      <c r="AK1" s="1475"/>
      <c r="AL1" s="1475"/>
      <c r="AM1" s="1474" t="s">
        <v>290</v>
      </c>
      <c r="AN1" s="1475"/>
      <c r="AO1" s="48" t="s">
        <v>291</v>
      </c>
      <c r="AP1" s="1472" t="s">
        <v>292</v>
      </c>
      <c r="AQ1" s="1473"/>
      <c r="AR1" s="1476" t="s">
        <v>244</v>
      </c>
      <c r="AS1" s="1477"/>
      <c r="AT1" s="1478" t="s">
        <v>293</v>
      </c>
      <c r="AU1" s="1479"/>
      <c r="AV1" s="1480" t="s">
        <v>294</v>
      </c>
      <c r="AW1" s="1481"/>
      <c r="AX1" s="1482" t="s">
        <v>295</v>
      </c>
      <c r="AY1" s="1483"/>
      <c r="AZ1" s="1470" t="s">
        <v>296</v>
      </c>
      <c r="BA1" s="1471"/>
      <c r="BB1" s="1523" t="s">
        <v>297</v>
      </c>
      <c r="BC1" s="1524"/>
      <c r="BD1" s="1476" t="s">
        <v>298</v>
      </c>
      <c r="BE1" s="1525"/>
      <c r="BF1" s="1477"/>
      <c r="BG1" s="1508" t="s">
        <v>299</v>
      </c>
      <c r="BH1" s="1526"/>
      <c r="BI1" s="1509"/>
      <c r="BJ1" s="1529" t="s">
        <v>300</v>
      </c>
      <c r="BK1" s="1530"/>
      <c r="BL1" s="1531"/>
      <c r="BM1" s="1532" t="s">
        <v>301</v>
      </c>
      <c r="BN1" s="1533"/>
      <c r="BO1" s="1534"/>
      <c r="BP1" s="1535" t="s">
        <v>302</v>
      </c>
      <c r="BQ1" s="1536"/>
      <c r="BR1" s="1536"/>
      <c r="BS1" s="1537"/>
      <c r="BT1" s="1520" t="s">
        <v>303</v>
      </c>
      <c r="BU1" s="1521"/>
      <c r="BV1" s="1521"/>
      <c r="BW1" s="1522"/>
      <c r="BX1" s="1518" t="s">
        <v>304</v>
      </c>
      <c r="BY1" s="1519"/>
      <c r="BZ1" s="1498" t="s">
        <v>305</v>
      </c>
      <c r="CA1" s="1499"/>
      <c r="CB1" s="1500" t="s">
        <v>306</v>
      </c>
      <c r="CC1" s="1501"/>
      <c r="CD1" s="1502" t="s">
        <v>307</v>
      </c>
      <c r="CE1" s="1503"/>
      <c r="CF1" s="1500" t="s">
        <v>308</v>
      </c>
      <c r="CG1" s="1501"/>
      <c r="CH1" s="1527" t="s">
        <v>309</v>
      </c>
      <c r="CI1" s="1528"/>
      <c r="CJ1" s="1474" t="s">
        <v>310</v>
      </c>
      <c r="CK1" s="1493"/>
      <c r="CL1" s="1487" t="s">
        <v>311</v>
      </c>
      <c r="CM1" s="1489"/>
      <c r="CN1" s="1474" t="s">
        <v>312</v>
      </c>
      <c r="CO1" s="1493"/>
      <c r="CP1" s="1498" t="s">
        <v>313</v>
      </c>
      <c r="CQ1" s="1499"/>
      <c r="CR1" s="1500" t="s">
        <v>314</v>
      </c>
      <c r="CS1" s="1501"/>
      <c r="CT1" s="1502" t="s">
        <v>315</v>
      </c>
      <c r="CU1" s="1503"/>
      <c r="CV1" s="1500" t="s">
        <v>316</v>
      </c>
      <c r="CW1" s="1501"/>
      <c r="CX1" s="1516" t="s">
        <v>317</v>
      </c>
      <c r="CY1" s="1517"/>
      <c r="CZ1" s="1474" t="s">
        <v>318</v>
      </c>
      <c r="DA1" s="1493"/>
      <c r="DB1" s="1487" t="s">
        <v>319</v>
      </c>
      <c r="DC1" s="1489"/>
      <c r="DD1" s="1474" t="s">
        <v>320</v>
      </c>
      <c r="DE1" s="1493"/>
      <c r="DF1" s="1494" t="s">
        <v>321</v>
      </c>
      <c r="DG1" s="1495"/>
      <c r="DH1" s="1496" t="s">
        <v>322</v>
      </c>
      <c r="DI1" s="1497"/>
      <c r="DJ1" s="1500" t="s">
        <v>323</v>
      </c>
      <c r="DK1" s="1501"/>
      <c r="DL1" s="1502" t="s">
        <v>324</v>
      </c>
      <c r="DM1" s="1503"/>
      <c r="DN1" s="1500" t="s">
        <v>325</v>
      </c>
      <c r="DO1" s="1501"/>
      <c r="DP1" s="1510" t="s">
        <v>326</v>
      </c>
      <c r="DQ1" s="1511"/>
      <c r="DR1" s="1506" t="s">
        <v>327</v>
      </c>
      <c r="DS1" s="1507"/>
      <c r="DT1" s="1508" t="s">
        <v>328</v>
      </c>
      <c r="DU1" s="1509"/>
      <c r="DV1" s="1510" t="s">
        <v>329</v>
      </c>
      <c r="DW1" s="1511"/>
      <c r="DX1" s="1508" t="s">
        <v>330</v>
      </c>
      <c r="DY1" s="1509"/>
      <c r="DZ1" s="1512" t="s">
        <v>331</v>
      </c>
      <c r="EA1" s="1513"/>
      <c r="EB1" s="1514" t="s">
        <v>332</v>
      </c>
      <c r="EC1" s="1515"/>
      <c r="ED1" s="1504" t="s">
        <v>262</v>
      </c>
      <c r="EE1" s="1505"/>
      <c r="EF1" s="1505"/>
      <c r="EG1" s="1505"/>
      <c r="EH1" s="1505"/>
      <c r="EI1" s="1505"/>
    </row>
    <row r="2" spans="1:139" ht="15.75" x14ac:dyDescent="0.25">
      <c r="A2" s="1102" t="str">
        <f>'BASE GRANTEE INFO &amp; UPDATES'!A1</f>
        <v>WV Bureau for Behavioral Health and Health Facilities -Community Anti-Drug Coalitions of America and Teen Court</v>
      </c>
      <c r="B2" s="1103"/>
      <c r="C2" s="1103"/>
      <c r="D2" s="1103"/>
      <c r="E2" s="1103"/>
      <c r="F2" s="1103"/>
      <c r="G2" s="1103"/>
      <c r="H2" s="1103"/>
      <c r="I2" s="1103"/>
      <c r="J2" s="1103"/>
      <c r="K2" s="1103"/>
      <c r="L2" s="1103"/>
      <c r="M2" s="1103"/>
      <c r="N2" s="1103"/>
      <c r="O2" s="1104"/>
    </row>
    <row r="3" spans="1:139" ht="15.75" x14ac:dyDescent="0.25">
      <c r="A3" s="1105" t="str">
        <f>'BASE GRANTEE INFO &amp; UPDATES'!A2</f>
        <v>FISCAL YEAR: 2025 (09/30/2024 - 09/29/2025)</v>
      </c>
      <c r="B3" s="1106"/>
      <c r="C3" s="1106"/>
      <c r="D3" s="1106"/>
      <c r="E3" s="1106"/>
      <c r="F3" s="1106"/>
      <c r="G3" s="1106"/>
      <c r="H3" s="1106"/>
      <c r="I3" s="1106"/>
      <c r="J3" s="1106"/>
      <c r="K3" s="1106"/>
      <c r="L3" s="1106"/>
      <c r="M3" s="1106"/>
      <c r="N3" s="1106"/>
      <c r="O3" s="1107"/>
    </row>
    <row r="4" spans="1:139" ht="15.75" x14ac:dyDescent="0.25">
      <c r="A4" s="1108" t="str">
        <f>'BASE GRANTEE INFO &amp; UPDATES'!A3</f>
        <v xml:space="preserve">Program reports need to be submitted electronically, via e-mail to BBHReporting@wv.gov  within 25 calendar days of the end of each month </v>
      </c>
      <c r="B4" s="1109"/>
      <c r="C4" s="1109"/>
      <c r="D4" s="1109"/>
      <c r="E4" s="1109"/>
      <c r="F4" s="1109"/>
      <c r="G4" s="1109"/>
      <c r="H4" s="1109"/>
      <c r="I4" s="1109"/>
      <c r="J4" s="1109"/>
      <c r="K4" s="1109"/>
      <c r="L4" s="1109"/>
      <c r="M4" s="1109"/>
      <c r="N4" s="1109"/>
      <c r="O4" s="1110"/>
    </row>
    <row r="5" spans="1:139" ht="18.75" x14ac:dyDescent="0.25">
      <c r="A5" s="1168" t="s">
        <v>236</v>
      </c>
      <c r="B5" s="1168"/>
      <c r="C5" s="1168"/>
      <c r="D5" s="1168"/>
      <c r="E5" s="1168"/>
      <c r="F5" s="1168"/>
      <c r="G5" s="1168"/>
      <c r="H5" s="1168"/>
      <c r="I5" s="1168"/>
      <c r="J5" s="1168"/>
      <c r="K5" s="1168"/>
      <c r="L5" s="1168"/>
      <c r="M5" s="1168"/>
      <c r="N5" s="1168"/>
      <c r="O5" s="1168"/>
    </row>
    <row r="6" spans="1:139" x14ac:dyDescent="0.25">
      <c r="A6" s="1142" t="s">
        <v>0</v>
      </c>
      <c r="B6" s="1142"/>
      <c r="C6" s="1142"/>
      <c r="D6" s="1142"/>
      <c r="E6" s="1119" t="str">
        <f>'BASE GRANTEE INFO &amp; UPDATES'!E5</f>
        <v xml:space="preserve">Community Anti-Drug Coalitions of America (CADCA) and Teen Court </v>
      </c>
      <c r="F6" s="1119"/>
      <c r="G6" s="1119"/>
      <c r="H6" s="1119"/>
      <c r="I6" s="1119"/>
      <c r="J6" s="1116" t="s">
        <v>1</v>
      </c>
      <c r="K6" s="1116"/>
      <c r="L6" s="1116"/>
      <c r="M6" s="1552">
        <f>'BASE GRANTEE INFO &amp; UPDATES'!M5</f>
        <v>0</v>
      </c>
      <c r="N6" s="1552"/>
      <c r="O6" s="1552"/>
    </row>
    <row r="7" spans="1:139" x14ac:dyDescent="0.25">
      <c r="A7" s="1142" t="s">
        <v>2</v>
      </c>
      <c r="B7" s="1142"/>
      <c r="C7" s="1142"/>
      <c r="D7" s="1142"/>
      <c r="E7" s="1120" t="str">
        <f>'BASE GRANTEE INFO &amp; UPDATES'!E6</f>
        <v>CADCA In Action and Teen Court</v>
      </c>
      <c r="F7" s="1120"/>
      <c r="G7" s="1120"/>
      <c r="H7" s="1120"/>
      <c r="I7" s="1120"/>
      <c r="J7" s="1116" t="s">
        <v>3</v>
      </c>
      <c r="K7" s="1116"/>
      <c r="L7" s="1116"/>
      <c r="M7" s="1552">
        <f>'BASE GRANTEE INFO &amp; UPDATES'!M6</f>
        <v>0</v>
      </c>
      <c r="N7" s="1552"/>
      <c r="O7" s="1552"/>
    </row>
    <row r="8" spans="1:139" ht="15" customHeight="1" x14ac:dyDescent="0.25">
      <c r="A8" s="1149" t="s">
        <v>4</v>
      </c>
      <c r="B8" s="1149"/>
      <c r="C8" s="1149"/>
      <c r="D8" s="1149"/>
      <c r="E8" s="1239">
        <f>'BASE GRANTEE INFO &amp; UPDATES'!E7</f>
        <v>0</v>
      </c>
      <c r="F8" s="1239"/>
      <c r="G8" s="1239"/>
      <c r="H8" s="1239"/>
      <c r="I8" s="1239"/>
      <c r="J8" s="1116" t="s">
        <v>5</v>
      </c>
      <c r="K8" s="1116"/>
      <c r="L8" s="1116"/>
      <c r="M8" s="1552">
        <f>'BASE GRANTEE INFO &amp; UPDATES'!M7</f>
        <v>0</v>
      </c>
      <c r="N8" s="1552"/>
      <c r="O8" s="1552"/>
    </row>
    <row r="9" spans="1:139" x14ac:dyDescent="0.25">
      <c r="A9" s="1149"/>
      <c r="B9" s="1149"/>
      <c r="C9" s="1149"/>
      <c r="D9" s="1149"/>
      <c r="E9" s="1239"/>
      <c r="F9" s="1239"/>
      <c r="G9" s="1239"/>
      <c r="H9" s="1239"/>
      <c r="I9" s="1239"/>
      <c r="J9" s="1138" t="s">
        <v>6</v>
      </c>
      <c r="K9" s="1138"/>
      <c r="L9" s="1138"/>
      <c r="M9" s="1552">
        <f>'BASE GRANTEE INFO &amp; UPDATES'!M8</f>
        <v>0</v>
      </c>
      <c r="N9" s="1552"/>
      <c r="O9" s="1552"/>
    </row>
    <row r="10" spans="1:139" x14ac:dyDescent="0.25">
      <c r="A10" s="1142" t="s">
        <v>7</v>
      </c>
      <c r="B10" s="1142"/>
      <c r="C10" s="1142"/>
      <c r="D10" s="1142"/>
      <c r="E10" s="879" t="str">
        <f>'BASE GRANTEE INFO &amp; UPDATES'!E9</f>
        <v>September 1 - 30</v>
      </c>
      <c r="F10" s="879"/>
      <c r="G10" s="1"/>
      <c r="H10" s="879">
        <f>'BASE GRANTEE INFO &amp; UPDATES'!G9</f>
        <v>2024</v>
      </c>
      <c r="I10" s="879"/>
      <c r="J10" s="1138" t="s">
        <v>8</v>
      </c>
      <c r="K10" s="1138"/>
      <c r="L10" s="1138"/>
      <c r="M10" s="1552">
        <f>'BASE GRANTEE INFO &amp; UPDATES'!M9</f>
        <v>0</v>
      </c>
      <c r="N10" s="1552"/>
      <c r="O10" s="1552"/>
    </row>
    <row r="11" spans="1:139" ht="18.75" x14ac:dyDescent="0.25">
      <c r="A11" s="1168" t="s">
        <v>237</v>
      </c>
      <c r="B11" s="1168"/>
      <c r="C11" s="1168"/>
      <c r="D11" s="1168"/>
      <c r="E11" s="1168"/>
      <c r="F11" s="1168"/>
      <c r="G11" s="1168"/>
      <c r="H11" s="1168"/>
      <c r="I11" s="1168"/>
      <c r="J11" s="1168"/>
      <c r="K11" s="1168"/>
      <c r="L11" s="1168"/>
      <c r="M11" s="1168"/>
      <c r="N11" s="1168"/>
      <c r="O11" s="1168"/>
    </row>
    <row r="12" spans="1:139" ht="60" customHeight="1" x14ac:dyDescent="0.25">
      <c r="A12" s="13" t="s">
        <v>245</v>
      </c>
      <c r="B12" s="58" t="s">
        <v>336</v>
      </c>
      <c r="C12" s="59" t="s">
        <v>337</v>
      </c>
      <c r="D12" s="58" t="s">
        <v>341</v>
      </c>
      <c r="E12" s="59" t="s">
        <v>342</v>
      </c>
      <c r="F12" s="14" t="s">
        <v>278</v>
      </c>
      <c r="G12" s="67" t="s">
        <v>281</v>
      </c>
      <c r="H12" s="15" t="s">
        <v>279</v>
      </c>
      <c r="I12" s="14" t="s">
        <v>280</v>
      </c>
      <c r="J12" s="15" t="s">
        <v>282</v>
      </c>
      <c r="K12" s="14" t="s">
        <v>283</v>
      </c>
      <c r="L12" s="15" t="s">
        <v>284</v>
      </c>
      <c r="M12" s="14" t="s">
        <v>285</v>
      </c>
      <c r="N12" s="15"/>
      <c r="O12" s="14"/>
    </row>
    <row r="13" spans="1:139" ht="39.950000000000003" customHeight="1" x14ac:dyDescent="0.25">
      <c r="A13" s="18" t="e">
        <f>ROW(#REF!)</f>
        <v>#REF!</v>
      </c>
      <c r="B13" s="17"/>
      <c r="C13" s="16"/>
      <c r="D13" s="17"/>
      <c r="E13" s="16"/>
      <c r="F13" s="17"/>
      <c r="G13" s="17"/>
      <c r="H13" s="16"/>
      <c r="I13" s="17"/>
      <c r="J13" s="16"/>
      <c r="K13" s="17"/>
      <c r="L13" s="16"/>
      <c r="M13" s="17"/>
      <c r="N13" s="16"/>
      <c r="O13" s="17"/>
    </row>
    <row r="14" spans="1:139" ht="39.950000000000003" customHeight="1" x14ac:dyDescent="0.25">
      <c r="A14" s="18">
        <f t="shared" ref="A14:A62" si="0">ROW(A2)</f>
        <v>2</v>
      </c>
      <c r="B14" s="17"/>
      <c r="C14" s="16"/>
      <c r="D14" s="17"/>
      <c r="E14" s="16"/>
      <c r="F14" s="17"/>
      <c r="G14" s="17"/>
      <c r="H14" s="16"/>
      <c r="I14" s="17"/>
      <c r="J14" s="16"/>
      <c r="K14" s="17"/>
      <c r="L14" s="16"/>
      <c r="M14" s="17"/>
      <c r="N14" s="16"/>
      <c r="O14" s="17"/>
    </row>
    <row r="15" spans="1:139" ht="39.950000000000003" customHeight="1" x14ac:dyDescent="0.25">
      <c r="A15" s="18">
        <f t="shared" si="0"/>
        <v>3</v>
      </c>
      <c r="B15" s="17"/>
      <c r="C15" s="16"/>
      <c r="D15" s="17"/>
      <c r="E15" s="16"/>
      <c r="F15" s="17"/>
      <c r="G15" s="17"/>
      <c r="H15" s="16"/>
      <c r="I15" s="17"/>
      <c r="J15" s="16"/>
      <c r="K15" s="17"/>
      <c r="L15" s="16"/>
      <c r="M15" s="17"/>
      <c r="N15" s="16"/>
      <c r="O15" s="17"/>
    </row>
    <row r="16" spans="1:139" ht="39.950000000000003" customHeight="1" x14ac:dyDescent="0.25">
      <c r="A16" s="18">
        <f t="shared" si="0"/>
        <v>4</v>
      </c>
      <c r="B16" s="17"/>
      <c r="C16" s="16"/>
      <c r="D16" s="17"/>
      <c r="E16" s="16"/>
      <c r="F16" s="17"/>
      <c r="G16" s="17"/>
      <c r="H16" s="16"/>
      <c r="I16" s="17"/>
      <c r="J16" s="16"/>
      <c r="K16" s="17"/>
      <c r="L16" s="16"/>
      <c r="M16" s="17"/>
      <c r="N16" s="16"/>
      <c r="O16" s="17"/>
    </row>
    <row r="17" spans="1:15" ht="39.950000000000003" customHeight="1" x14ac:dyDescent="0.25">
      <c r="A17" s="18">
        <f t="shared" si="0"/>
        <v>5</v>
      </c>
      <c r="B17" s="17"/>
      <c r="C17" s="16"/>
      <c r="D17" s="17"/>
      <c r="E17" s="16"/>
      <c r="F17" s="17"/>
      <c r="G17" s="17"/>
      <c r="H17" s="16"/>
      <c r="I17" s="17"/>
      <c r="J17" s="16"/>
      <c r="K17" s="17"/>
      <c r="L17" s="16"/>
      <c r="M17" s="17"/>
      <c r="N17" s="16"/>
      <c r="O17" s="17"/>
    </row>
    <row r="18" spans="1:15" ht="39.950000000000003" customHeight="1" x14ac:dyDescent="0.25">
      <c r="A18" s="18">
        <f t="shared" si="0"/>
        <v>6</v>
      </c>
      <c r="B18" s="17"/>
      <c r="C18" s="16"/>
      <c r="D18" s="17"/>
      <c r="E18" s="16"/>
      <c r="F18" s="17"/>
      <c r="G18" s="17"/>
      <c r="H18" s="16"/>
      <c r="I18" s="17"/>
      <c r="J18" s="16"/>
      <c r="K18" s="17"/>
      <c r="L18" s="16"/>
      <c r="M18" s="17"/>
      <c r="N18" s="16"/>
      <c r="O18" s="17"/>
    </row>
    <row r="19" spans="1:15" ht="39.950000000000003" customHeight="1" x14ac:dyDescent="0.25">
      <c r="A19" s="18">
        <f t="shared" si="0"/>
        <v>7</v>
      </c>
      <c r="B19" s="17"/>
      <c r="C19" s="16"/>
      <c r="D19" s="17"/>
      <c r="E19" s="16"/>
      <c r="F19" s="17"/>
      <c r="G19" s="17"/>
      <c r="H19" s="16"/>
      <c r="I19" s="17"/>
      <c r="J19" s="16"/>
      <c r="K19" s="17"/>
      <c r="L19" s="16"/>
      <c r="M19" s="17"/>
      <c r="N19" s="16"/>
      <c r="O19" s="17"/>
    </row>
    <row r="20" spans="1:15" ht="39.950000000000003" customHeight="1" x14ac:dyDescent="0.25">
      <c r="A20" s="18">
        <f t="shared" si="0"/>
        <v>8</v>
      </c>
      <c r="B20" s="17"/>
      <c r="C20" s="16"/>
      <c r="D20" s="17"/>
      <c r="E20" s="16"/>
      <c r="F20" s="17"/>
      <c r="G20" s="17"/>
      <c r="H20" s="16"/>
      <c r="I20" s="17"/>
      <c r="J20" s="16"/>
      <c r="K20" s="17"/>
      <c r="L20" s="16"/>
      <c r="M20" s="17"/>
      <c r="N20" s="16"/>
      <c r="O20" s="17"/>
    </row>
    <row r="21" spans="1:15" ht="39.950000000000003" customHeight="1" x14ac:dyDescent="0.25">
      <c r="A21" s="18">
        <f t="shared" si="0"/>
        <v>9</v>
      </c>
      <c r="B21" s="17"/>
      <c r="C21" s="16"/>
      <c r="D21" s="17"/>
      <c r="E21" s="16"/>
      <c r="F21" s="17"/>
      <c r="G21" s="17"/>
      <c r="H21" s="16"/>
      <c r="I21" s="17"/>
      <c r="J21" s="16"/>
      <c r="K21" s="17"/>
      <c r="L21" s="16"/>
      <c r="M21" s="17"/>
      <c r="N21" s="16"/>
      <c r="O21" s="17"/>
    </row>
    <row r="22" spans="1:15" ht="39.950000000000003" customHeight="1" x14ac:dyDescent="0.25">
      <c r="A22" s="18">
        <f t="shared" si="0"/>
        <v>10</v>
      </c>
      <c r="B22" s="17"/>
      <c r="C22" s="16"/>
      <c r="D22" s="17"/>
      <c r="E22" s="16"/>
      <c r="F22" s="17"/>
      <c r="G22" s="17"/>
      <c r="H22" s="16"/>
      <c r="I22" s="17"/>
      <c r="J22" s="16"/>
      <c r="K22" s="17"/>
      <c r="L22" s="16"/>
      <c r="M22" s="17"/>
      <c r="N22" s="16"/>
      <c r="O22" s="17"/>
    </row>
    <row r="23" spans="1:15" ht="39.950000000000003" customHeight="1" x14ac:dyDescent="0.25">
      <c r="A23" s="18">
        <f t="shared" si="0"/>
        <v>11</v>
      </c>
      <c r="B23" s="17"/>
      <c r="C23" s="16"/>
      <c r="D23" s="17"/>
      <c r="E23" s="16"/>
      <c r="F23" s="17"/>
      <c r="G23" s="17"/>
      <c r="H23" s="16"/>
      <c r="I23" s="17"/>
      <c r="J23" s="16"/>
      <c r="K23" s="17"/>
      <c r="L23" s="16"/>
      <c r="M23" s="17"/>
      <c r="N23" s="16"/>
      <c r="O23" s="17"/>
    </row>
    <row r="24" spans="1:15" ht="39.950000000000003" customHeight="1" x14ac:dyDescent="0.25">
      <c r="A24" s="18">
        <f t="shared" si="0"/>
        <v>12</v>
      </c>
      <c r="B24" s="17"/>
      <c r="C24" s="16"/>
      <c r="D24" s="17"/>
      <c r="E24" s="16"/>
      <c r="F24" s="17"/>
      <c r="G24" s="17"/>
      <c r="H24" s="16"/>
      <c r="I24" s="17"/>
      <c r="J24" s="16"/>
      <c r="K24" s="17"/>
      <c r="L24" s="16"/>
      <c r="M24" s="17"/>
      <c r="N24" s="16"/>
      <c r="O24" s="17"/>
    </row>
    <row r="25" spans="1:15" ht="39.950000000000003" customHeight="1" x14ac:dyDescent="0.25">
      <c r="A25" s="18">
        <f t="shared" si="0"/>
        <v>13</v>
      </c>
      <c r="B25" s="17"/>
      <c r="C25" s="16"/>
      <c r="D25" s="17"/>
      <c r="E25" s="16"/>
      <c r="F25" s="17"/>
      <c r="G25" s="17"/>
      <c r="H25" s="16"/>
      <c r="I25" s="17"/>
      <c r="J25" s="16"/>
      <c r="K25" s="17"/>
      <c r="L25" s="16"/>
      <c r="M25" s="17"/>
      <c r="N25" s="16"/>
      <c r="O25" s="17"/>
    </row>
    <row r="26" spans="1:15" ht="39.950000000000003" customHeight="1" x14ac:dyDescent="0.25">
      <c r="A26" s="18">
        <f t="shared" si="0"/>
        <v>14</v>
      </c>
      <c r="B26" s="17"/>
      <c r="C26" s="16"/>
      <c r="D26" s="17"/>
      <c r="E26" s="16"/>
      <c r="F26" s="17"/>
      <c r="G26" s="17"/>
      <c r="H26" s="16"/>
      <c r="I26" s="17"/>
      <c r="J26" s="16"/>
      <c r="K26" s="17"/>
      <c r="L26" s="16"/>
      <c r="M26" s="17"/>
      <c r="N26" s="16"/>
      <c r="O26" s="17"/>
    </row>
    <row r="27" spans="1:15" ht="39.950000000000003" customHeight="1" x14ac:dyDescent="0.25">
      <c r="A27" s="18">
        <f t="shared" si="0"/>
        <v>15</v>
      </c>
      <c r="B27" s="17"/>
      <c r="C27" s="16"/>
      <c r="D27" s="17"/>
      <c r="E27" s="16"/>
      <c r="F27" s="17"/>
      <c r="G27" s="17"/>
      <c r="H27" s="16"/>
      <c r="I27" s="17"/>
      <c r="J27" s="16"/>
      <c r="K27" s="17"/>
      <c r="L27" s="16"/>
      <c r="M27" s="17"/>
      <c r="N27" s="16"/>
      <c r="O27" s="17"/>
    </row>
    <row r="28" spans="1:15" ht="39.950000000000003" customHeight="1" x14ac:dyDescent="0.25">
      <c r="A28" s="18">
        <f t="shared" si="0"/>
        <v>16</v>
      </c>
      <c r="B28" s="17"/>
      <c r="C28" s="16"/>
      <c r="D28" s="17"/>
      <c r="E28" s="16"/>
      <c r="F28" s="17"/>
      <c r="G28" s="17"/>
      <c r="H28" s="16"/>
      <c r="I28" s="17"/>
      <c r="J28" s="16"/>
      <c r="K28" s="17"/>
      <c r="L28" s="16"/>
      <c r="M28" s="17"/>
      <c r="N28" s="16"/>
      <c r="O28" s="17"/>
    </row>
    <row r="29" spans="1:15" ht="39.950000000000003" customHeight="1" x14ac:dyDescent="0.25">
      <c r="A29" s="18">
        <f t="shared" si="0"/>
        <v>17</v>
      </c>
      <c r="B29" s="17"/>
      <c r="C29" s="16"/>
      <c r="D29" s="17"/>
      <c r="E29" s="16"/>
      <c r="F29" s="17"/>
      <c r="G29" s="17"/>
      <c r="H29" s="16"/>
      <c r="I29" s="17"/>
      <c r="J29" s="16"/>
      <c r="K29" s="17"/>
      <c r="L29" s="16"/>
      <c r="M29" s="17"/>
      <c r="N29" s="16"/>
      <c r="O29" s="17"/>
    </row>
    <row r="30" spans="1:15" ht="39.950000000000003" customHeight="1" x14ac:dyDescent="0.25">
      <c r="A30" s="18">
        <f t="shared" si="0"/>
        <v>18</v>
      </c>
      <c r="B30" s="17"/>
      <c r="C30" s="16"/>
      <c r="D30" s="17"/>
      <c r="E30" s="16"/>
      <c r="F30" s="17"/>
      <c r="G30" s="17"/>
      <c r="H30" s="16"/>
      <c r="I30" s="17"/>
      <c r="J30" s="16"/>
      <c r="K30" s="17"/>
      <c r="L30" s="16"/>
      <c r="M30" s="17"/>
      <c r="N30" s="16"/>
      <c r="O30" s="17"/>
    </row>
    <row r="31" spans="1:15" ht="39.950000000000003" customHeight="1" x14ac:dyDescent="0.25">
      <c r="A31" s="18">
        <f t="shared" si="0"/>
        <v>19</v>
      </c>
      <c r="B31" s="17"/>
      <c r="C31" s="16"/>
      <c r="D31" s="17"/>
      <c r="E31" s="16"/>
      <c r="F31" s="17"/>
      <c r="G31" s="17"/>
      <c r="H31" s="16"/>
      <c r="I31" s="17"/>
      <c r="J31" s="16"/>
      <c r="K31" s="17"/>
      <c r="L31" s="16"/>
      <c r="M31" s="17"/>
      <c r="N31" s="16"/>
      <c r="O31" s="17"/>
    </row>
    <row r="32" spans="1:15" ht="39.950000000000003" customHeight="1" x14ac:dyDescent="0.25">
      <c r="A32" s="18">
        <f t="shared" si="0"/>
        <v>20</v>
      </c>
      <c r="B32" s="17"/>
      <c r="C32" s="16"/>
      <c r="D32" s="17"/>
      <c r="E32" s="16"/>
      <c r="F32" s="17"/>
      <c r="G32" s="17"/>
      <c r="H32" s="16"/>
      <c r="I32" s="17"/>
      <c r="J32" s="16"/>
      <c r="K32" s="17"/>
      <c r="L32" s="16"/>
      <c r="M32" s="17"/>
      <c r="N32" s="16"/>
      <c r="O32" s="17"/>
    </row>
    <row r="33" spans="1:15" ht="39.950000000000003" customHeight="1" x14ac:dyDescent="0.25">
      <c r="A33" s="18">
        <f t="shared" si="0"/>
        <v>21</v>
      </c>
      <c r="B33" s="17"/>
      <c r="C33" s="16"/>
      <c r="D33" s="17"/>
      <c r="E33" s="16"/>
      <c r="F33" s="17"/>
      <c r="G33" s="17"/>
      <c r="H33" s="16"/>
      <c r="I33" s="17"/>
      <c r="J33" s="16"/>
      <c r="K33" s="17"/>
      <c r="L33" s="16"/>
      <c r="M33" s="17"/>
      <c r="N33" s="16"/>
      <c r="O33" s="17"/>
    </row>
    <row r="34" spans="1:15" ht="39.950000000000003" customHeight="1" x14ac:dyDescent="0.25">
      <c r="A34" s="18">
        <f t="shared" si="0"/>
        <v>22</v>
      </c>
      <c r="B34" s="17"/>
      <c r="C34" s="16"/>
      <c r="D34" s="17"/>
      <c r="E34" s="16"/>
      <c r="F34" s="17"/>
      <c r="G34" s="17"/>
      <c r="H34" s="16"/>
      <c r="I34" s="17"/>
      <c r="J34" s="16"/>
      <c r="K34" s="17"/>
      <c r="L34" s="16"/>
      <c r="M34" s="17"/>
      <c r="N34" s="16"/>
      <c r="O34" s="17"/>
    </row>
    <row r="35" spans="1:15" ht="39.950000000000003" customHeight="1" x14ac:dyDescent="0.25">
      <c r="A35" s="18">
        <f t="shared" si="0"/>
        <v>23</v>
      </c>
      <c r="B35" s="17"/>
      <c r="C35" s="16"/>
      <c r="D35" s="17"/>
      <c r="E35" s="16"/>
      <c r="F35" s="17"/>
      <c r="G35" s="17"/>
      <c r="H35" s="16"/>
      <c r="I35" s="17"/>
      <c r="J35" s="16"/>
      <c r="K35" s="17"/>
      <c r="L35" s="16"/>
      <c r="M35" s="17"/>
      <c r="N35" s="16"/>
      <c r="O35" s="17"/>
    </row>
    <row r="36" spans="1:15" ht="39.950000000000003" customHeight="1" x14ac:dyDescent="0.25">
      <c r="A36" s="18">
        <f t="shared" si="0"/>
        <v>24</v>
      </c>
      <c r="B36" s="17"/>
      <c r="C36" s="16"/>
      <c r="D36" s="17"/>
      <c r="E36" s="16"/>
      <c r="F36" s="17"/>
      <c r="G36" s="17"/>
      <c r="H36" s="16"/>
      <c r="I36" s="17"/>
      <c r="J36" s="16"/>
      <c r="K36" s="17"/>
      <c r="L36" s="16"/>
      <c r="M36" s="17"/>
      <c r="N36" s="16"/>
      <c r="O36" s="17"/>
    </row>
    <row r="37" spans="1:15" ht="39.950000000000003" customHeight="1" x14ac:dyDescent="0.25">
      <c r="A37" s="18">
        <f t="shared" si="0"/>
        <v>25</v>
      </c>
      <c r="B37" s="17"/>
      <c r="C37" s="16"/>
      <c r="D37" s="17"/>
      <c r="E37" s="16"/>
      <c r="F37" s="17"/>
      <c r="G37" s="17"/>
      <c r="H37" s="16"/>
      <c r="I37" s="17"/>
      <c r="J37" s="16"/>
      <c r="K37" s="17"/>
      <c r="L37" s="16"/>
      <c r="M37" s="17"/>
      <c r="N37" s="16"/>
      <c r="O37" s="17"/>
    </row>
    <row r="38" spans="1:15" ht="39.950000000000003" customHeight="1" x14ac:dyDescent="0.25">
      <c r="A38" s="18">
        <f t="shared" si="0"/>
        <v>26</v>
      </c>
      <c r="B38" s="17"/>
      <c r="C38" s="16"/>
      <c r="D38" s="17"/>
      <c r="E38" s="16"/>
      <c r="F38" s="17"/>
      <c r="G38" s="17"/>
      <c r="H38" s="16"/>
      <c r="I38" s="17"/>
      <c r="J38" s="16"/>
      <c r="K38" s="17"/>
      <c r="L38" s="16"/>
      <c r="M38" s="17"/>
      <c r="N38" s="16"/>
      <c r="O38" s="17"/>
    </row>
    <row r="39" spans="1:15" ht="39.950000000000003" customHeight="1" x14ac:dyDescent="0.25">
      <c r="A39" s="18">
        <f t="shared" si="0"/>
        <v>27</v>
      </c>
      <c r="B39" s="17"/>
      <c r="C39" s="16"/>
      <c r="D39" s="17"/>
      <c r="E39" s="16"/>
      <c r="F39" s="17"/>
      <c r="G39" s="17"/>
      <c r="H39" s="16"/>
      <c r="I39" s="17"/>
      <c r="J39" s="16"/>
      <c r="K39" s="17"/>
      <c r="L39" s="16"/>
      <c r="M39" s="17"/>
      <c r="N39" s="16"/>
      <c r="O39" s="17"/>
    </row>
    <row r="40" spans="1:15" ht="39.950000000000003" customHeight="1" x14ac:dyDescent="0.25">
      <c r="A40" s="18">
        <f t="shared" si="0"/>
        <v>28</v>
      </c>
      <c r="B40" s="17"/>
      <c r="C40" s="16"/>
      <c r="D40" s="17"/>
      <c r="E40" s="16"/>
      <c r="F40" s="17"/>
      <c r="G40" s="17"/>
      <c r="H40" s="16"/>
      <c r="I40" s="17"/>
      <c r="J40" s="16"/>
      <c r="K40" s="17"/>
      <c r="L40" s="16"/>
      <c r="M40" s="17"/>
      <c r="N40" s="16"/>
      <c r="O40" s="17"/>
    </row>
    <row r="41" spans="1:15" ht="39.950000000000003" customHeight="1" x14ac:dyDescent="0.25">
      <c r="A41" s="18">
        <f t="shared" si="0"/>
        <v>29</v>
      </c>
      <c r="B41" s="17"/>
      <c r="C41" s="16"/>
      <c r="D41" s="17"/>
      <c r="E41" s="16"/>
      <c r="F41" s="17"/>
      <c r="G41" s="17"/>
      <c r="H41" s="16"/>
      <c r="I41" s="17"/>
      <c r="J41" s="16"/>
      <c r="K41" s="17"/>
      <c r="L41" s="16"/>
      <c r="M41" s="17"/>
      <c r="N41" s="16"/>
      <c r="O41" s="17"/>
    </row>
    <row r="42" spans="1:15" ht="39.950000000000003" customHeight="1" x14ac:dyDescent="0.25">
      <c r="A42" s="18">
        <f t="shared" si="0"/>
        <v>30</v>
      </c>
      <c r="B42" s="17"/>
      <c r="C42" s="16"/>
      <c r="D42" s="17"/>
      <c r="E42" s="16"/>
      <c r="F42" s="17"/>
      <c r="G42" s="17"/>
      <c r="H42" s="16"/>
      <c r="I42" s="17"/>
      <c r="J42" s="16"/>
      <c r="K42" s="17"/>
      <c r="L42" s="16"/>
      <c r="M42" s="17"/>
      <c r="N42" s="16"/>
      <c r="O42" s="17"/>
    </row>
    <row r="43" spans="1:15" ht="39.950000000000003" customHeight="1" x14ac:dyDescent="0.25">
      <c r="A43" s="18">
        <f t="shared" si="0"/>
        <v>31</v>
      </c>
      <c r="B43" s="17"/>
      <c r="C43" s="16"/>
      <c r="D43" s="17"/>
      <c r="E43" s="16"/>
      <c r="F43" s="17"/>
      <c r="G43" s="17"/>
      <c r="H43" s="16"/>
      <c r="I43" s="17"/>
      <c r="J43" s="16"/>
      <c r="K43" s="17"/>
      <c r="L43" s="16"/>
      <c r="M43" s="17"/>
      <c r="N43" s="16"/>
      <c r="O43" s="17"/>
    </row>
    <row r="44" spans="1:15" ht="39.950000000000003" customHeight="1" x14ac:dyDescent="0.25">
      <c r="A44" s="18">
        <f t="shared" si="0"/>
        <v>32</v>
      </c>
      <c r="B44" s="17"/>
      <c r="C44" s="16"/>
      <c r="D44" s="17"/>
      <c r="E44" s="16"/>
      <c r="F44" s="17"/>
      <c r="G44" s="17"/>
      <c r="H44" s="16"/>
      <c r="I44" s="17"/>
      <c r="J44" s="16"/>
      <c r="K44" s="17"/>
      <c r="L44" s="16"/>
      <c r="M44" s="17"/>
      <c r="N44" s="16"/>
      <c r="O44" s="17"/>
    </row>
    <row r="45" spans="1:15" ht="39.950000000000003" customHeight="1" x14ac:dyDescent="0.25">
      <c r="A45" s="18">
        <f t="shared" si="0"/>
        <v>33</v>
      </c>
      <c r="B45" s="17"/>
      <c r="C45" s="16"/>
      <c r="D45" s="17"/>
      <c r="E45" s="16"/>
      <c r="F45" s="17"/>
      <c r="G45" s="17"/>
      <c r="H45" s="16"/>
      <c r="I45" s="17"/>
      <c r="J45" s="16"/>
      <c r="K45" s="17"/>
      <c r="L45" s="16"/>
      <c r="M45" s="17"/>
      <c r="N45" s="16"/>
      <c r="O45" s="17"/>
    </row>
    <row r="46" spans="1:15" ht="39.950000000000003" customHeight="1" x14ac:dyDescent="0.25">
      <c r="A46" s="18">
        <f t="shared" si="0"/>
        <v>34</v>
      </c>
      <c r="B46" s="17"/>
      <c r="C46" s="16"/>
      <c r="D46" s="17"/>
      <c r="E46" s="16"/>
      <c r="F46" s="17"/>
      <c r="G46" s="17"/>
      <c r="H46" s="16"/>
      <c r="I46" s="17"/>
      <c r="J46" s="16"/>
      <c r="K46" s="17"/>
      <c r="L46" s="16"/>
      <c r="M46" s="17"/>
      <c r="N46" s="16"/>
      <c r="O46" s="17"/>
    </row>
    <row r="47" spans="1:15" ht="39.950000000000003" customHeight="1" x14ac:dyDescent="0.25">
      <c r="A47" s="18">
        <f t="shared" si="0"/>
        <v>35</v>
      </c>
      <c r="B47" s="17"/>
      <c r="C47" s="16"/>
      <c r="D47" s="17"/>
      <c r="E47" s="16"/>
      <c r="F47" s="17"/>
      <c r="G47" s="17"/>
      <c r="H47" s="16"/>
      <c r="I47" s="17"/>
      <c r="J47" s="16"/>
      <c r="K47" s="17"/>
      <c r="L47" s="16"/>
      <c r="M47" s="17"/>
      <c r="N47" s="16"/>
      <c r="O47" s="17"/>
    </row>
    <row r="48" spans="1:15" ht="39.950000000000003" customHeight="1" x14ac:dyDescent="0.25">
      <c r="A48" s="18">
        <f t="shared" si="0"/>
        <v>36</v>
      </c>
      <c r="B48" s="17"/>
      <c r="C48" s="16"/>
      <c r="D48" s="17"/>
      <c r="E48" s="16"/>
      <c r="F48" s="17"/>
      <c r="G48" s="17"/>
      <c r="H48" s="16"/>
      <c r="I48" s="17"/>
      <c r="J48" s="16"/>
      <c r="K48" s="17"/>
      <c r="L48" s="16"/>
      <c r="M48" s="17"/>
      <c r="N48" s="16"/>
      <c r="O48" s="17"/>
    </row>
    <row r="49" spans="1:15" ht="39.950000000000003" customHeight="1" x14ac:dyDescent="0.25">
      <c r="A49" s="18">
        <f t="shared" si="0"/>
        <v>37</v>
      </c>
      <c r="B49" s="17"/>
      <c r="C49" s="16"/>
      <c r="D49" s="17"/>
      <c r="E49" s="16"/>
      <c r="F49" s="17"/>
      <c r="G49" s="17"/>
      <c r="H49" s="16"/>
      <c r="I49" s="17"/>
      <c r="J49" s="16"/>
      <c r="K49" s="17"/>
      <c r="L49" s="16"/>
      <c r="M49" s="17"/>
      <c r="N49" s="16"/>
      <c r="O49" s="17"/>
    </row>
    <row r="50" spans="1:15" ht="39.950000000000003" customHeight="1" x14ac:dyDescent="0.25">
      <c r="A50" s="18">
        <f t="shared" si="0"/>
        <v>38</v>
      </c>
      <c r="B50" s="17"/>
      <c r="C50" s="16"/>
      <c r="D50" s="17"/>
      <c r="E50" s="16"/>
      <c r="F50" s="17"/>
      <c r="G50" s="17"/>
      <c r="H50" s="16"/>
      <c r="I50" s="17"/>
      <c r="J50" s="16"/>
      <c r="K50" s="17"/>
      <c r="L50" s="16"/>
      <c r="M50" s="17"/>
      <c r="N50" s="16"/>
      <c r="O50" s="17"/>
    </row>
    <row r="51" spans="1:15" ht="39.950000000000003" customHeight="1" x14ac:dyDescent="0.25">
      <c r="A51" s="18">
        <f t="shared" si="0"/>
        <v>39</v>
      </c>
      <c r="B51" s="17"/>
      <c r="C51" s="16"/>
      <c r="D51" s="17"/>
      <c r="E51" s="16"/>
      <c r="F51" s="17"/>
      <c r="G51" s="17"/>
      <c r="H51" s="16"/>
      <c r="I51" s="17"/>
      <c r="J51" s="16"/>
      <c r="K51" s="17"/>
      <c r="L51" s="16"/>
      <c r="M51" s="17"/>
      <c r="N51" s="16"/>
      <c r="O51" s="17"/>
    </row>
    <row r="52" spans="1:15" ht="39.950000000000003" customHeight="1" x14ac:dyDescent="0.25">
      <c r="A52" s="18">
        <f t="shared" si="0"/>
        <v>40</v>
      </c>
      <c r="B52" s="17"/>
      <c r="C52" s="16"/>
      <c r="D52" s="17"/>
      <c r="E52" s="16"/>
      <c r="F52" s="17"/>
      <c r="G52" s="17"/>
      <c r="H52" s="16"/>
      <c r="I52" s="17"/>
      <c r="J52" s="16"/>
      <c r="K52" s="17"/>
      <c r="L52" s="16"/>
      <c r="M52" s="17"/>
      <c r="N52" s="16"/>
      <c r="O52" s="17"/>
    </row>
    <row r="53" spans="1:15" ht="39.950000000000003" customHeight="1" x14ac:dyDescent="0.25">
      <c r="A53" s="18">
        <f t="shared" si="0"/>
        <v>41</v>
      </c>
      <c r="B53" s="17"/>
      <c r="C53" s="16"/>
      <c r="D53" s="17"/>
      <c r="E53" s="16"/>
      <c r="F53" s="17"/>
      <c r="G53" s="17"/>
      <c r="H53" s="16"/>
      <c r="I53" s="17"/>
      <c r="J53" s="16"/>
      <c r="K53" s="17"/>
      <c r="L53" s="16"/>
      <c r="M53" s="17"/>
      <c r="N53" s="16"/>
      <c r="O53" s="17"/>
    </row>
    <row r="54" spans="1:15" ht="39.950000000000003" customHeight="1" x14ac:dyDescent="0.25">
      <c r="A54" s="18">
        <f t="shared" si="0"/>
        <v>42</v>
      </c>
      <c r="B54" s="17"/>
      <c r="C54" s="16"/>
      <c r="D54" s="17"/>
      <c r="E54" s="16"/>
      <c r="F54" s="17"/>
      <c r="G54" s="17"/>
      <c r="H54" s="16"/>
      <c r="I54" s="17"/>
      <c r="J54" s="16"/>
      <c r="K54" s="17"/>
      <c r="L54" s="16"/>
      <c r="M54" s="17"/>
      <c r="N54" s="16"/>
      <c r="O54" s="17"/>
    </row>
    <row r="55" spans="1:15" ht="39.950000000000003" customHeight="1" x14ac:dyDescent="0.25">
      <c r="A55" s="18">
        <f t="shared" si="0"/>
        <v>43</v>
      </c>
      <c r="B55" s="17"/>
      <c r="C55" s="16"/>
      <c r="D55" s="17"/>
      <c r="E55" s="16"/>
      <c r="F55" s="17"/>
      <c r="G55" s="17"/>
      <c r="H55" s="16"/>
      <c r="I55" s="17"/>
      <c r="J55" s="16"/>
      <c r="K55" s="17"/>
      <c r="L55" s="16"/>
      <c r="M55" s="17"/>
      <c r="N55" s="16"/>
      <c r="O55" s="17"/>
    </row>
    <row r="56" spans="1:15" ht="39.950000000000003" customHeight="1" x14ac:dyDescent="0.25">
      <c r="A56" s="18">
        <f t="shared" si="0"/>
        <v>44</v>
      </c>
      <c r="B56" s="17"/>
      <c r="C56" s="16"/>
      <c r="D56" s="17"/>
      <c r="E56" s="16"/>
      <c r="F56" s="17"/>
      <c r="G56" s="17"/>
      <c r="H56" s="16"/>
      <c r="I56" s="17"/>
      <c r="J56" s="16"/>
      <c r="K56" s="17"/>
      <c r="L56" s="16"/>
      <c r="M56" s="17"/>
      <c r="N56" s="16"/>
      <c r="O56" s="17"/>
    </row>
    <row r="57" spans="1:15" ht="39.950000000000003" customHeight="1" x14ac:dyDescent="0.25">
      <c r="A57" s="18">
        <f t="shared" si="0"/>
        <v>45</v>
      </c>
      <c r="B57" s="17"/>
      <c r="C57" s="16"/>
      <c r="D57" s="17"/>
      <c r="E57" s="16"/>
      <c r="F57" s="17"/>
      <c r="G57" s="17"/>
      <c r="H57" s="16"/>
      <c r="I57" s="17"/>
      <c r="J57" s="16"/>
      <c r="K57" s="17"/>
      <c r="L57" s="16"/>
      <c r="M57" s="17"/>
      <c r="N57" s="16"/>
      <c r="O57" s="17"/>
    </row>
    <row r="58" spans="1:15" ht="39.950000000000003" customHeight="1" x14ac:dyDescent="0.25">
      <c r="A58" s="18">
        <f t="shared" si="0"/>
        <v>46</v>
      </c>
      <c r="B58" s="17"/>
      <c r="C58" s="16"/>
      <c r="D58" s="17"/>
      <c r="E58" s="16"/>
      <c r="F58" s="17"/>
      <c r="G58" s="17"/>
      <c r="H58" s="16"/>
      <c r="I58" s="17"/>
      <c r="J58" s="16"/>
      <c r="K58" s="17"/>
      <c r="L58" s="16"/>
      <c r="M58" s="17"/>
      <c r="N58" s="16"/>
      <c r="O58" s="17"/>
    </row>
    <row r="59" spans="1:15" ht="39.950000000000003" customHeight="1" x14ac:dyDescent="0.25">
      <c r="A59" s="18">
        <f t="shared" si="0"/>
        <v>47</v>
      </c>
      <c r="B59" s="17"/>
      <c r="C59" s="16"/>
      <c r="D59" s="17"/>
      <c r="E59" s="16"/>
      <c r="F59" s="17"/>
      <c r="G59" s="17"/>
      <c r="H59" s="16"/>
      <c r="I59" s="17"/>
      <c r="J59" s="16"/>
      <c r="K59" s="17"/>
      <c r="L59" s="16"/>
      <c r="M59" s="17"/>
      <c r="N59" s="16"/>
      <c r="O59" s="17"/>
    </row>
    <row r="60" spans="1:15" ht="39.950000000000003" customHeight="1" x14ac:dyDescent="0.25">
      <c r="A60" s="18">
        <f t="shared" si="0"/>
        <v>48</v>
      </c>
      <c r="B60" s="17"/>
      <c r="C60" s="16"/>
      <c r="D60" s="17"/>
      <c r="E60" s="16"/>
      <c r="F60" s="17"/>
      <c r="G60" s="17"/>
      <c r="H60" s="16"/>
      <c r="I60" s="17"/>
      <c r="J60" s="16"/>
      <c r="K60" s="17"/>
      <c r="L60" s="16"/>
      <c r="M60" s="17"/>
      <c r="N60" s="16"/>
      <c r="O60" s="17"/>
    </row>
    <row r="61" spans="1:15" ht="39.950000000000003" customHeight="1" x14ac:dyDescent="0.25">
      <c r="A61" s="18">
        <f t="shared" si="0"/>
        <v>49</v>
      </c>
      <c r="B61" s="17"/>
      <c r="C61" s="16"/>
      <c r="D61" s="17"/>
      <c r="E61" s="16"/>
      <c r="F61" s="17"/>
      <c r="G61" s="17"/>
      <c r="H61" s="16"/>
      <c r="I61" s="17"/>
      <c r="J61" s="16"/>
      <c r="K61" s="17"/>
      <c r="L61" s="16"/>
      <c r="M61" s="17"/>
      <c r="N61" s="16"/>
      <c r="O61" s="17"/>
    </row>
    <row r="62" spans="1:15" ht="39.950000000000003" customHeight="1" x14ac:dyDescent="0.25">
      <c r="A62" s="18">
        <f t="shared" si="0"/>
        <v>50</v>
      </c>
      <c r="B62" s="17"/>
      <c r="C62" s="16"/>
      <c r="D62" s="17"/>
      <c r="E62" s="16"/>
      <c r="F62" s="17"/>
      <c r="G62" s="17"/>
      <c r="H62" s="16"/>
      <c r="I62" s="17"/>
      <c r="J62" s="16"/>
      <c r="K62" s="17"/>
      <c r="L62" s="16"/>
      <c r="M62" s="17"/>
      <c r="N62" s="16"/>
      <c r="O62" s="17"/>
    </row>
    <row r="63" spans="1:15" x14ac:dyDescent="0.25">
      <c r="A63" s="10"/>
    </row>
    <row r="64" spans="1:15" x14ac:dyDescent="0.25">
      <c r="A64" s="10"/>
    </row>
    <row r="65" spans="1:1" x14ac:dyDescent="0.25">
      <c r="A65" s="10"/>
    </row>
    <row r="66" spans="1:1" x14ac:dyDescent="0.25">
      <c r="A66" s="10"/>
    </row>
    <row r="67" spans="1:1" x14ac:dyDescent="0.25">
      <c r="A67" s="10"/>
    </row>
    <row r="68" spans="1:1" x14ac:dyDescent="0.25">
      <c r="A68" s="10"/>
    </row>
    <row r="69" spans="1:1" x14ac:dyDescent="0.25">
      <c r="A69" s="10"/>
    </row>
  </sheetData>
  <mergeCells count="83">
    <mergeCell ref="A2:O2"/>
    <mergeCell ref="A3:O3"/>
    <mergeCell ref="A4:O4"/>
    <mergeCell ref="A5:O5"/>
    <mergeCell ref="A6:D6"/>
    <mergeCell ref="E6:I6"/>
    <mergeCell ref="J6:L6"/>
    <mergeCell ref="M6:O6"/>
    <mergeCell ref="A11:O11"/>
    <mergeCell ref="A7:D7"/>
    <mergeCell ref="E7:I7"/>
    <mergeCell ref="J7:L7"/>
    <mergeCell ref="M7:O7"/>
    <mergeCell ref="A8:D9"/>
    <mergeCell ref="E8:I9"/>
    <mergeCell ref="J8:L8"/>
    <mergeCell ref="M8:O8"/>
    <mergeCell ref="J9:L9"/>
    <mergeCell ref="M9:O9"/>
    <mergeCell ref="A10:D10"/>
    <mergeCell ref="E10:F10"/>
    <mergeCell ref="H10:I10"/>
    <mergeCell ref="J10:L10"/>
    <mergeCell ref="M10:O10"/>
    <mergeCell ref="O1:P1"/>
    <mergeCell ref="Q1:R1"/>
    <mergeCell ref="S1:U1"/>
    <mergeCell ref="V1:W1"/>
    <mergeCell ref="B1:C1"/>
    <mergeCell ref="D1:E1"/>
    <mergeCell ref="H1:J1"/>
    <mergeCell ref="K1:L1"/>
    <mergeCell ref="M1:N1"/>
    <mergeCell ref="F1:G1"/>
    <mergeCell ref="CV1:CW1"/>
    <mergeCell ref="CJ1:CK1"/>
    <mergeCell ref="BX1:BY1"/>
    <mergeCell ref="BT1:BW1"/>
    <mergeCell ref="BB1:BC1"/>
    <mergeCell ref="BD1:BF1"/>
    <mergeCell ref="BG1:BI1"/>
    <mergeCell ref="BZ1:CA1"/>
    <mergeCell ref="CB1:CC1"/>
    <mergeCell ref="CD1:CE1"/>
    <mergeCell ref="CF1:CG1"/>
    <mergeCell ref="CH1:CI1"/>
    <mergeCell ref="BJ1:BL1"/>
    <mergeCell ref="BM1:BO1"/>
    <mergeCell ref="BP1:BS1"/>
    <mergeCell ref="CL1:CM1"/>
    <mergeCell ref="CN1:CO1"/>
    <mergeCell ref="CP1:CQ1"/>
    <mergeCell ref="CR1:CS1"/>
    <mergeCell ref="CT1:CU1"/>
    <mergeCell ref="ED1:EI1"/>
    <mergeCell ref="DR1:DS1"/>
    <mergeCell ref="DT1:DU1"/>
    <mergeCell ref="DV1:DW1"/>
    <mergeCell ref="DX1:DY1"/>
    <mergeCell ref="DZ1:EA1"/>
    <mergeCell ref="EB1:EC1"/>
    <mergeCell ref="DJ1:DK1"/>
    <mergeCell ref="DL1:DM1"/>
    <mergeCell ref="DN1:DO1"/>
    <mergeCell ref="DP1:DQ1"/>
    <mergeCell ref="CX1:CY1"/>
    <mergeCell ref="CZ1:DA1"/>
    <mergeCell ref="DB1:DC1"/>
    <mergeCell ref="DD1:DE1"/>
    <mergeCell ref="DF1:DG1"/>
    <mergeCell ref="DH1:DI1"/>
    <mergeCell ref="X1:AA1"/>
    <mergeCell ref="AB1:AC1"/>
    <mergeCell ref="AD1:AF1"/>
    <mergeCell ref="AG1:AI1"/>
    <mergeCell ref="AJ1:AL1"/>
    <mergeCell ref="AZ1:BA1"/>
    <mergeCell ref="AP1:AQ1"/>
    <mergeCell ref="AM1:AN1"/>
    <mergeCell ref="AR1:AS1"/>
    <mergeCell ref="AT1:AU1"/>
    <mergeCell ref="AV1:AW1"/>
    <mergeCell ref="AX1:AY1"/>
  </mergeCell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D6A4D25-F9CE-43BB-B59F-6D86625B77FF}">
          <x14:formula1>
            <xm:f>'Pick List '!$A$4:$A$15</xm:f>
          </x14:formula1>
          <xm:sqref>E10</xm:sqref>
        </x14:dataValidation>
        <x14:dataValidation type="list" allowBlank="1" showInputMessage="1" showErrorMessage="1" xr:uid="{78E31D9C-655B-40AC-98B4-A30EFD804968}">
          <x14:formula1>
            <xm:f>'Pick List '!$C$4:$C$9</xm:f>
          </x14:formula1>
          <xm:sqref>H10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93CCA-CBC2-4D05-913D-ABC1B9DAAB1D}">
  <sheetPr>
    <tabColor theme="7" tint="-0.499984740745262"/>
  </sheetPr>
  <dimension ref="A1:AF43"/>
  <sheetViews>
    <sheetView workbookViewId="0">
      <pane ySplit="1" topLeftCell="A2" activePane="bottomLeft" state="frozen"/>
      <selection activeCell="D1" sqref="D1"/>
      <selection pane="bottomLeft" activeCell="I13" sqref="I13:J13"/>
    </sheetView>
  </sheetViews>
  <sheetFormatPr defaultRowHeight="15" x14ac:dyDescent="0.25"/>
  <cols>
    <col min="1" max="1" width="5.28515625" customWidth="1"/>
    <col min="2" max="2" width="12.5703125" customWidth="1"/>
    <col min="3" max="3" width="15.28515625" customWidth="1"/>
    <col min="4" max="6" width="13.7109375" customWidth="1"/>
    <col min="7" max="7" width="8.85546875" customWidth="1"/>
    <col min="8" max="8" width="14.85546875" customWidth="1"/>
    <col min="9" max="9" width="10.42578125" customWidth="1"/>
    <col min="10" max="11" width="11.42578125" customWidth="1"/>
    <col min="12" max="14" width="13.42578125" customWidth="1"/>
    <col min="15" max="15" width="12.5703125" customWidth="1"/>
    <col min="16" max="17" width="15.140625" customWidth="1"/>
    <col min="18" max="20" width="14" customWidth="1"/>
    <col min="21" max="25" width="8.7109375" customWidth="1"/>
  </cols>
  <sheetData>
    <row r="1" spans="1:32" ht="60" customHeight="1" x14ac:dyDescent="0.25">
      <c r="A1" s="731" t="s">
        <v>245</v>
      </c>
      <c r="B1" s="948" t="s">
        <v>777</v>
      </c>
      <c r="C1" s="948"/>
      <c r="D1" s="948"/>
      <c r="E1" s="948"/>
      <c r="F1" s="948"/>
      <c r="G1" s="948"/>
      <c r="H1" s="948"/>
      <c r="I1" s="947" t="s">
        <v>761</v>
      </c>
      <c r="J1" s="947"/>
      <c r="K1" s="946" t="s">
        <v>760</v>
      </c>
      <c r="L1" s="946"/>
      <c r="M1" s="947" t="s">
        <v>759</v>
      </c>
      <c r="N1" s="947"/>
      <c r="O1" s="946" t="s">
        <v>757</v>
      </c>
      <c r="P1" s="946"/>
      <c r="Q1" s="947" t="s">
        <v>758</v>
      </c>
      <c r="R1" s="947"/>
      <c r="S1" s="946" t="s">
        <v>753</v>
      </c>
      <c r="T1" s="946"/>
      <c r="U1" s="947" t="s">
        <v>754</v>
      </c>
      <c r="V1" s="947"/>
      <c r="W1" s="946" t="s">
        <v>13</v>
      </c>
      <c r="X1" s="946"/>
      <c r="Y1" s="947" t="s">
        <v>14</v>
      </c>
      <c r="Z1" s="947"/>
      <c r="AA1" s="946" t="s">
        <v>15</v>
      </c>
      <c r="AB1" s="946"/>
      <c r="AC1" s="947" t="s">
        <v>755</v>
      </c>
      <c r="AD1" s="947"/>
      <c r="AE1" s="946" t="s">
        <v>756</v>
      </c>
      <c r="AF1" s="946"/>
    </row>
    <row r="2" spans="1:32" ht="15.75" x14ac:dyDescent="0.25">
      <c r="A2" s="871" t="str">
        <f>'BASE GRANTEE INFO &amp; UPDATES'!A1</f>
        <v>WV Bureau for Behavioral Health and Health Facilities -Community Anti-Drug Coalitions of America and Teen Court</v>
      </c>
      <c r="B2" s="872"/>
      <c r="C2" s="872"/>
      <c r="D2" s="872"/>
      <c r="E2" s="872"/>
      <c r="F2" s="872"/>
      <c r="G2" s="872"/>
      <c r="H2" s="872"/>
      <c r="I2" s="872"/>
      <c r="J2" s="872"/>
      <c r="K2" s="872"/>
      <c r="L2" s="872"/>
      <c r="M2" s="872"/>
      <c r="N2" s="872"/>
      <c r="O2" s="872"/>
      <c r="P2" s="65"/>
      <c r="Q2" s="65"/>
      <c r="R2" s="65"/>
      <c r="S2" s="65"/>
      <c r="T2" s="65"/>
      <c r="U2" s="65"/>
      <c r="V2" s="65"/>
      <c r="W2" s="65"/>
      <c r="X2" s="65"/>
      <c r="Y2" s="65"/>
      <c r="Z2" s="299"/>
      <c r="AA2" s="299"/>
      <c r="AB2" s="299"/>
      <c r="AC2" s="299"/>
      <c r="AD2" s="299"/>
      <c r="AE2" s="299"/>
      <c r="AF2" s="299"/>
    </row>
    <row r="3" spans="1:32" ht="15.75" x14ac:dyDescent="0.25">
      <c r="A3" s="871" t="str">
        <f>'BASE GRANTEE INFO &amp; UPDATES'!A2</f>
        <v>FISCAL YEAR: 2025 (09/30/2024 - 09/29/2025)</v>
      </c>
      <c r="B3" s="872"/>
      <c r="C3" s="872"/>
      <c r="D3" s="872"/>
      <c r="E3" s="872"/>
      <c r="F3" s="872"/>
      <c r="G3" s="872"/>
      <c r="H3" s="872"/>
      <c r="I3" s="872"/>
      <c r="J3" s="872"/>
      <c r="K3" s="872"/>
      <c r="L3" s="872"/>
      <c r="M3" s="872"/>
      <c r="N3" s="872"/>
      <c r="O3" s="872"/>
      <c r="P3" s="65"/>
      <c r="Q3" s="65"/>
      <c r="R3" s="65"/>
      <c r="S3" s="65"/>
      <c r="T3" s="65"/>
      <c r="U3" s="65"/>
      <c r="V3" s="65"/>
      <c r="W3" s="65"/>
      <c r="X3" s="65"/>
      <c r="Y3" s="65"/>
      <c r="Z3" s="299"/>
      <c r="AA3" s="299"/>
      <c r="AB3" s="299"/>
      <c r="AC3" s="299"/>
      <c r="AD3" s="299"/>
      <c r="AE3" s="299"/>
      <c r="AF3" s="299"/>
    </row>
    <row r="4" spans="1:32" ht="15.75" x14ac:dyDescent="0.25">
      <c r="A4" s="874" t="str">
        <f>'BASE GRANTEE INFO &amp; UPDATES'!A3</f>
        <v xml:space="preserve">Program reports need to be submitted electronically, via e-mail to BBHReporting@wv.gov  within 25 calendar days of the end of each month </v>
      </c>
      <c r="B4" s="875"/>
      <c r="C4" s="875"/>
      <c r="D4" s="875"/>
      <c r="E4" s="875"/>
      <c r="F4" s="875"/>
      <c r="G4" s="875"/>
      <c r="H4" s="875"/>
      <c r="I4" s="875"/>
      <c r="J4" s="875"/>
      <c r="K4" s="875"/>
      <c r="L4" s="875"/>
      <c r="M4" s="875"/>
      <c r="N4" s="875"/>
      <c r="O4" s="875"/>
      <c r="P4" s="66"/>
      <c r="Q4" s="66"/>
      <c r="R4" s="66"/>
      <c r="S4" s="66"/>
      <c r="T4" s="66"/>
      <c r="U4" s="66"/>
      <c r="V4" s="66"/>
      <c r="W4" s="66"/>
      <c r="X4" s="66"/>
      <c r="Y4" s="66"/>
      <c r="Z4" s="299"/>
      <c r="AA4" s="299"/>
      <c r="AB4" s="299"/>
      <c r="AC4" s="299"/>
      <c r="AD4" s="299"/>
      <c r="AE4" s="299"/>
      <c r="AF4" s="299"/>
    </row>
    <row r="5" spans="1:32" ht="18.75" x14ac:dyDescent="0.25">
      <c r="A5" s="953" t="s">
        <v>763</v>
      </c>
      <c r="B5" s="954"/>
      <c r="C5" s="954"/>
      <c r="D5" s="954"/>
      <c r="E5" s="954"/>
      <c r="F5" s="954"/>
      <c r="G5" s="954"/>
      <c r="H5" s="954"/>
      <c r="I5" s="954"/>
      <c r="J5" s="954"/>
      <c r="K5" s="954"/>
      <c r="L5" s="954"/>
      <c r="M5" s="954"/>
      <c r="N5" s="954"/>
      <c r="O5" s="954"/>
      <c r="P5" s="249"/>
      <c r="Q5" s="249"/>
      <c r="R5" s="249"/>
      <c r="S5" s="249"/>
      <c r="T5" s="249"/>
      <c r="U5" s="249"/>
      <c r="V5" s="249"/>
      <c r="W5" s="249"/>
      <c r="X5" s="249"/>
      <c r="Y5" s="249"/>
      <c r="Z5" s="299"/>
      <c r="AA5" s="299"/>
      <c r="AB5" s="299"/>
      <c r="AC5" s="299"/>
      <c r="AD5" s="299"/>
      <c r="AE5" s="299"/>
      <c r="AF5" s="299"/>
    </row>
    <row r="6" spans="1:32" ht="20.100000000000001" customHeight="1" x14ac:dyDescent="0.25">
      <c r="A6" s="943" t="s">
        <v>0</v>
      </c>
      <c r="B6" s="943"/>
      <c r="C6" s="943"/>
      <c r="D6" s="943"/>
      <c r="E6" s="959" t="str">
        <f>'BASE GRANTEE INFO &amp; UPDATES'!E5</f>
        <v xml:space="preserve">Community Anti-Drug Coalitions of America (CADCA) and Teen Court </v>
      </c>
      <c r="F6" s="959"/>
      <c r="G6" s="959"/>
      <c r="H6" s="959"/>
      <c r="I6" s="956" t="s">
        <v>1</v>
      </c>
      <c r="J6" s="956"/>
      <c r="K6" s="956"/>
      <c r="L6" s="956"/>
      <c r="M6" s="955">
        <f>'BASE GRANTEE INFO &amp; UPDATES'!M5</f>
        <v>0</v>
      </c>
      <c r="N6" s="955"/>
      <c r="O6" s="955"/>
      <c r="P6" s="386"/>
      <c r="Q6" s="386"/>
      <c r="R6" s="68"/>
      <c r="S6" s="68"/>
      <c r="T6" s="68"/>
      <c r="U6" s="68"/>
      <c r="V6" s="68"/>
      <c r="W6" s="68"/>
      <c r="X6" s="68"/>
      <c r="Y6" s="68"/>
      <c r="Z6" s="299"/>
      <c r="AA6" s="299"/>
      <c r="AB6" s="299"/>
      <c r="AC6" s="299"/>
      <c r="AD6" s="299"/>
      <c r="AE6" s="299"/>
      <c r="AF6" s="299"/>
    </row>
    <row r="7" spans="1:32" ht="20.100000000000001" customHeight="1" x14ac:dyDescent="0.25">
      <c r="A7" s="943" t="s">
        <v>2</v>
      </c>
      <c r="B7" s="943"/>
      <c r="C7" s="943"/>
      <c r="D7" s="943"/>
      <c r="E7" s="960" t="str">
        <f>'BASE GRANTEE INFO &amp; UPDATES'!E6</f>
        <v>CADCA In Action and Teen Court</v>
      </c>
      <c r="F7" s="960"/>
      <c r="G7" s="960"/>
      <c r="H7" s="960"/>
      <c r="I7" s="956" t="s">
        <v>3</v>
      </c>
      <c r="J7" s="956"/>
      <c r="K7" s="956"/>
      <c r="L7" s="956"/>
      <c r="M7" s="955">
        <f>'BASE GRANTEE INFO &amp; UPDATES'!M6</f>
        <v>0</v>
      </c>
      <c r="N7" s="955"/>
      <c r="O7" s="955"/>
      <c r="P7" s="386"/>
      <c r="Q7" s="386"/>
      <c r="R7" s="68"/>
      <c r="S7" s="68"/>
      <c r="T7" s="68"/>
      <c r="U7" s="68"/>
      <c r="V7" s="68"/>
      <c r="W7" s="68"/>
      <c r="X7" s="68"/>
      <c r="Y7" s="68"/>
      <c r="Z7" s="299"/>
      <c r="AA7" s="299"/>
      <c r="AB7" s="299"/>
      <c r="AC7" s="299"/>
      <c r="AD7" s="299"/>
      <c r="AE7" s="299"/>
      <c r="AF7" s="299"/>
    </row>
    <row r="8" spans="1:32" ht="20.100000000000001" customHeight="1" x14ac:dyDescent="0.25">
      <c r="A8" s="957" t="s">
        <v>4</v>
      </c>
      <c r="B8" s="957"/>
      <c r="C8" s="957"/>
      <c r="D8" s="957"/>
      <c r="E8" s="958">
        <f>'BASE GRANTEE INFO &amp; UPDATES'!E7</f>
        <v>0</v>
      </c>
      <c r="F8" s="958"/>
      <c r="G8" s="958"/>
      <c r="H8" s="958"/>
      <c r="I8" s="956" t="s">
        <v>374</v>
      </c>
      <c r="J8" s="956"/>
      <c r="K8" s="956"/>
      <c r="L8" s="956"/>
      <c r="M8" s="955">
        <f>'BASE GRANTEE INFO &amp; UPDATES'!M7</f>
        <v>0</v>
      </c>
      <c r="N8" s="955"/>
      <c r="O8" s="955"/>
      <c r="P8" s="386"/>
      <c r="Q8" s="386"/>
      <c r="R8" s="68"/>
      <c r="S8" s="68"/>
      <c r="T8" s="68"/>
      <c r="U8" s="68"/>
      <c r="V8" s="68"/>
      <c r="W8" s="68"/>
      <c r="X8" s="68"/>
      <c r="Y8" s="68"/>
      <c r="Z8" s="299"/>
      <c r="AA8" s="299"/>
      <c r="AB8" s="299"/>
      <c r="AC8" s="299"/>
      <c r="AD8" s="299"/>
      <c r="AE8" s="299"/>
      <c r="AF8" s="299"/>
    </row>
    <row r="9" spans="1:32" ht="20.100000000000001" customHeight="1" x14ac:dyDescent="0.25">
      <c r="A9" s="957"/>
      <c r="B9" s="957"/>
      <c r="C9" s="957"/>
      <c r="D9" s="957"/>
      <c r="E9" s="958"/>
      <c r="F9" s="958"/>
      <c r="G9" s="958"/>
      <c r="H9" s="958"/>
      <c r="I9" s="951" t="s">
        <v>6</v>
      </c>
      <c r="J9" s="951"/>
      <c r="K9" s="951"/>
      <c r="L9" s="951"/>
      <c r="M9" s="955">
        <f>'BASE GRANTEE INFO &amp; UPDATES'!M8</f>
        <v>0</v>
      </c>
      <c r="N9" s="955"/>
      <c r="O9" s="955"/>
      <c r="P9" s="386"/>
      <c r="Q9" s="386"/>
      <c r="R9" s="68"/>
      <c r="S9" s="68"/>
      <c r="T9" s="68"/>
      <c r="U9" s="68"/>
      <c r="V9" s="68"/>
      <c r="W9" s="68"/>
      <c r="X9" s="68"/>
      <c r="Y9" s="68"/>
      <c r="Z9" s="299"/>
      <c r="AA9" s="299"/>
      <c r="AB9" s="299"/>
      <c r="AC9" s="299"/>
      <c r="AD9" s="299"/>
      <c r="AE9" s="299"/>
      <c r="AF9" s="299"/>
    </row>
    <row r="10" spans="1:32" ht="20.100000000000001" customHeight="1" x14ac:dyDescent="0.25">
      <c r="A10" s="943" t="s">
        <v>7</v>
      </c>
      <c r="B10" s="943"/>
      <c r="C10" s="943"/>
      <c r="D10" s="943"/>
      <c r="E10" s="952" t="str">
        <f>'BASE GRANTEE INFO &amp; UPDATES'!E9</f>
        <v>September 1 - 30</v>
      </c>
      <c r="F10" s="952"/>
      <c r="G10" s="952"/>
      <c r="H10" s="733">
        <f>'BASE GRANTEE INFO &amp; UPDATES'!G9</f>
        <v>2024</v>
      </c>
      <c r="I10" s="951" t="s">
        <v>8</v>
      </c>
      <c r="J10" s="951"/>
      <c r="K10" s="951"/>
      <c r="L10" s="951"/>
      <c r="M10" s="955">
        <f>'BASE GRANTEE INFO &amp; UPDATES'!M9</f>
        <v>0</v>
      </c>
      <c r="N10" s="955"/>
      <c r="O10" s="955"/>
      <c r="P10" s="386"/>
      <c r="Q10" s="386"/>
      <c r="R10" s="68"/>
      <c r="S10" s="68"/>
      <c r="T10" s="68"/>
      <c r="U10" s="68"/>
      <c r="V10" s="68"/>
      <c r="W10" s="68"/>
      <c r="X10" s="68"/>
      <c r="Y10" s="68"/>
      <c r="Z10" s="299"/>
      <c r="AA10" s="299"/>
      <c r="AB10" s="299"/>
      <c r="AC10" s="299"/>
      <c r="AD10" s="299"/>
      <c r="AE10" s="299"/>
      <c r="AF10" s="299"/>
    </row>
    <row r="11" spans="1:32" ht="18.75" x14ac:dyDescent="0.25">
      <c r="A11" s="953" t="s">
        <v>762</v>
      </c>
      <c r="B11" s="954"/>
      <c r="C11" s="954"/>
      <c r="D11" s="954"/>
      <c r="E11" s="954"/>
      <c r="F11" s="954"/>
      <c r="G11" s="954"/>
      <c r="H11" s="954"/>
      <c r="I11" s="954"/>
      <c r="J11" s="954"/>
      <c r="K11" s="954"/>
      <c r="L11" s="954"/>
      <c r="M11" s="954"/>
      <c r="N11" s="954"/>
      <c r="O11" s="954"/>
      <c r="P11" s="575"/>
      <c r="Q11" s="575"/>
      <c r="R11" s="575"/>
      <c r="S11" s="575"/>
      <c r="T11" s="575"/>
      <c r="U11" s="575"/>
      <c r="V11" s="949"/>
      <c r="W11" s="949"/>
      <c r="X11" s="949"/>
      <c r="Y11" s="949"/>
      <c r="Z11" s="732"/>
      <c r="AA11" s="732"/>
      <c r="AB11" s="732"/>
      <c r="AC11" s="732"/>
      <c r="AD11" s="732"/>
      <c r="AE11" s="732"/>
      <c r="AF11" s="732"/>
    </row>
    <row r="12" spans="1:32" ht="15.75" x14ac:dyDescent="0.25">
      <c r="A12" s="731" t="s">
        <v>245</v>
      </c>
      <c r="B12" s="948" t="s">
        <v>777</v>
      </c>
      <c r="C12" s="948"/>
      <c r="D12" s="948"/>
      <c r="E12" s="948"/>
      <c r="F12" s="948"/>
      <c r="G12" s="948"/>
      <c r="H12" s="948"/>
      <c r="I12" s="947" t="s">
        <v>761</v>
      </c>
      <c r="J12" s="947"/>
      <c r="K12" s="946" t="s">
        <v>760</v>
      </c>
      <c r="L12" s="946"/>
      <c r="M12" s="947" t="s">
        <v>759</v>
      </c>
      <c r="N12" s="947"/>
      <c r="O12" s="946" t="s">
        <v>757</v>
      </c>
      <c r="P12" s="946"/>
      <c r="Q12" s="947" t="s">
        <v>758</v>
      </c>
      <c r="R12" s="947"/>
      <c r="S12" s="946" t="s">
        <v>753</v>
      </c>
      <c r="T12" s="946"/>
      <c r="U12" s="947" t="s">
        <v>754</v>
      </c>
      <c r="V12" s="947"/>
      <c r="W12" s="946" t="s">
        <v>13</v>
      </c>
      <c r="X12" s="946"/>
      <c r="Y12" s="947" t="s">
        <v>14</v>
      </c>
      <c r="Z12" s="947"/>
      <c r="AA12" s="946" t="s">
        <v>15</v>
      </c>
      <c r="AB12" s="946"/>
      <c r="AC12" s="947" t="s">
        <v>755</v>
      </c>
      <c r="AD12" s="947"/>
      <c r="AE12" s="946" t="s">
        <v>756</v>
      </c>
      <c r="AF12" s="946"/>
    </row>
    <row r="13" spans="1:32" ht="50.1" customHeight="1" x14ac:dyDescent="0.25">
      <c r="A13" s="731">
        <f>ROW(A1)</f>
        <v>1</v>
      </c>
      <c r="B13" s="828" t="s">
        <v>786</v>
      </c>
      <c r="C13" s="828"/>
      <c r="D13" s="828"/>
      <c r="E13" s="828"/>
      <c r="F13" s="828"/>
      <c r="G13" s="828"/>
      <c r="H13" s="828"/>
      <c r="I13" s="941" t="s">
        <v>22</v>
      </c>
      <c r="J13" s="941"/>
      <c r="K13" s="942" t="s">
        <v>22</v>
      </c>
      <c r="L13" s="942"/>
      <c r="M13" s="941" t="s">
        <v>22</v>
      </c>
      <c r="N13" s="941"/>
      <c r="O13" s="942" t="s">
        <v>22</v>
      </c>
      <c r="P13" s="942"/>
      <c r="Q13" s="941" t="s">
        <v>22</v>
      </c>
      <c r="R13" s="941"/>
      <c r="S13" s="942" t="s">
        <v>22</v>
      </c>
      <c r="T13" s="942"/>
      <c r="U13" s="941" t="s">
        <v>22</v>
      </c>
      <c r="V13" s="941"/>
      <c r="W13" s="942" t="s">
        <v>22</v>
      </c>
      <c r="X13" s="942"/>
      <c r="Y13" s="941" t="s">
        <v>22</v>
      </c>
      <c r="Z13" s="941"/>
      <c r="AA13" s="942" t="s">
        <v>22</v>
      </c>
      <c r="AB13" s="942"/>
      <c r="AC13" s="941" t="s">
        <v>22</v>
      </c>
      <c r="AD13" s="941"/>
      <c r="AE13" s="942" t="s">
        <v>22</v>
      </c>
      <c r="AF13" s="942"/>
    </row>
    <row r="14" spans="1:32" ht="50.1" customHeight="1" x14ac:dyDescent="0.25">
      <c r="A14" s="731">
        <f t="shared" ref="A14:A28" si="0">ROW(A2)</f>
        <v>2</v>
      </c>
      <c r="B14" s="828" t="s">
        <v>787</v>
      </c>
      <c r="C14" s="943"/>
      <c r="D14" s="943"/>
      <c r="E14" s="943"/>
      <c r="F14" s="943"/>
      <c r="G14" s="943"/>
      <c r="H14" s="943"/>
      <c r="I14" s="941" t="s">
        <v>22</v>
      </c>
      <c r="J14" s="941"/>
      <c r="K14" s="942" t="s">
        <v>22</v>
      </c>
      <c r="L14" s="942"/>
      <c r="M14" s="941" t="s">
        <v>22</v>
      </c>
      <c r="N14" s="941"/>
      <c r="O14" s="942" t="s">
        <v>22</v>
      </c>
      <c r="P14" s="942"/>
      <c r="Q14" s="941" t="s">
        <v>22</v>
      </c>
      <c r="R14" s="941"/>
      <c r="S14" s="942" t="s">
        <v>22</v>
      </c>
      <c r="T14" s="942"/>
      <c r="U14" s="941" t="s">
        <v>22</v>
      </c>
      <c r="V14" s="941"/>
      <c r="W14" s="942" t="s">
        <v>22</v>
      </c>
      <c r="X14" s="942"/>
      <c r="Y14" s="941" t="s">
        <v>22</v>
      </c>
      <c r="Z14" s="941"/>
      <c r="AA14" s="942" t="s">
        <v>22</v>
      </c>
      <c r="AB14" s="942"/>
      <c r="AC14" s="941" t="s">
        <v>22</v>
      </c>
      <c r="AD14" s="941"/>
      <c r="AE14" s="942" t="s">
        <v>22</v>
      </c>
      <c r="AF14" s="942"/>
    </row>
    <row r="15" spans="1:32" ht="50.1" customHeight="1" x14ac:dyDescent="0.25">
      <c r="A15" s="731">
        <f t="shared" si="0"/>
        <v>3</v>
      </c>
      <c r="B15" s="828"/>
      <c r="C15" s="943"/>
      <c r="D15" s="943"/>
      <c r="E15" s="943"/>
      <c r="F15" s="943"/>
      <c r="G15" s="943"/>
      <c r="H15" s="943"/>
      <c r="I15" s="941" t="s">
        <v>22</v>
      </c>
      <c r="J15" s="941"/>
      <c r="K15" s="942" t="s">
        <v>22</v>
      </c>
      <c r="L15" s="942"/>
      <c r="M15" s="941" t="s">
        <v>22</v>
      </c>
      <c r="N15" s="941"/>
      <c r="O15" s="942" t="s">
        <v>22</v>
      </c>
      <c r="P15" s="942"/>
      <c r="Q15" s="941" t="s">
        <v>22</v>
      </c>
      <c r="R15" s="941"/>
      <c r="S15" s="942" t="s">
        <v>22</v>
      </c>
      <c r="T15" s="942"/>
      <c r="U15" s="941" t="s">
        <v>22</v>
      </c>
      <c r="V15" s="941"/>
      <c r="W15" s="942" t="s">
        <v>22</v>
      </c>
      <c r="X15" s="942"/>
      <c r="Y15" s="941" t="s">
        <v>22</v>
      </c>
      <c r="Z15" s="941"/>
      <c r="AA15" s="942" t="s">
        <v>22</v>
      </c>
      <c r="AB15" s="942"/>
      <c r="AC15" s="941" t="s">
        <v>22</v>
      </c>
      <c r="AD15" s="941"/>
      <c r="AE15" s="942" t="s">
        <v>22</v>
      </c>
      <c r="AF15" s="942"/>
    </row>
    <row r="16" spans="1:32" ht="50.1" customHeight="1" x14ac:dyDescent="0.25">
      <c r="A16" s="731">
        <f t="shared" si="0"/>
        <v>4</v>
      </c>
      <c r="B16" s="938"/>
      <c r="C16" s="939"/>
      <c r="D16" s="939"/>
      <c r="E16" s="939"/>
      <c r="F16" s="939"/>
      <c r="G16" s="939"/>
      <c r="H16" s="940"/>
      <c r="I16" s="941" t="s">
        <v>22</v>
      </c>
      <c r="J16" s="941"/>
      <c r="K16" s="942" t="s">
        <v>22</v>
      </c>
      <c r="L16" s="942"/>
      <c r="M16" s="941" t="s">
        <v>22</v>
      </c>
      <c r="N16" s="941"/>
      <c r="O16" s="942" t="s">
        <v>22</v>
      </c>
      <c r="P16" s="942"/>
      <c r="Q16" s="941" t="s">
        <v>22</v>
      </c>
      <c r="R16" s="941"/>
      <c r="S16" s="942" t="s">
        <v>22</v>
      </c>
      <c r="T16" s="942"/>
      <c r="U16" s="941" t="s">
        <v>22</v>
      </c>
      <c r="V16" s="941"/>
      <c r="W16" s="942" t="s">
        <v>22</v>
      </c>
      <c r="X16" s="942"/>
      <c r="Y16" s="941" t="s">
        <v>22</v>
      </c>
      <c r="Z16" s="941"/>
      <c r="AA16" s="942" t="s">
        <v>22</v>
      </c>
      <c r="AB16" s="942"/>
      <c r="AC16" s="941" t="s">
        <v>22</v>
      </c>
      <c r="AD16" s="941"/>
      <c r="AE16" s="942" t="s">
        <v>22</v>
      </c>
      <c r="AF16" s="942"/>
    </row>
    <row r="17" spans="1:32" ht="50.1" customHeight="1" x14ac:dyDescent="0.25">
      <c r="A17" s="731">
        <f t="shared" si="0"/>
        <v>5</v>
      </c>
      <c r="B17" s="950"/>
      <c r="C17" s="951"/>
      <c r="D17" s="951"/>
      <c r="E17" s="951"/>
      <c r="F17" s="951"/>
      <c r="G17" s="951"/>
      <c r="H17" s="951"/>
      <c r="I17" s="941" t="s">
        <v>22</v>
      </c>
      <c r="J17" s="941"/>
      <c r="K17" s="942" t="s">
        <v>22</v>
      </c>
      <c r="L17" s="942"/>
      <c r="M17" s="941" t="s">
        <v>22</v>
      </c>
      <c r="N17" s="941"/>
      <c r="O17" s="942" t="s">
        <v>22</v>
      </c>
      <c r="P17" s="942"/>
      <c r="Q17" s="941" t="s">
        <v>22</v>
      </c>
      <c r="R17" s="941"/>
      <c r="S17" s="942" t="s">
        <v>22</v>
      </c>
      <c r="T17" s="942"/>
      <c r="U17" s="941" t="s">
        <v>22</v>
      </c>
      <c r="V17" s="941"/>
      <c r="W17" s="942" t="s">
        <v>22</v>
      </c>
      <c r="X17" s="942"/>
      <c r="Y17" s="941" t="s">
        <v>22</v>
      </c>
      <c r="Z17" s="941"/>
      <c r="AA17" s="942" t="s">
        <v>22</v>
      </c>
      <c r="AB17" s="942"/>
      <c r="AC17" s="941" t="s">
        <v>22</v>
      </c>
      <c r="AD17" s="941"/>
      <c r="AE17" s="942" t="s">
        <v>22</v>
      </c>
      <c r="AF17" s="942"/>
    </row>
    <row r="18" spans="1:32" ht="50.1" customHeight="1" x14ac:dyDescent="0.25">
      <c r="A18" s="731">
        <f t="shared" si="0"/>
        <v>6</v>
      </c>
      <c r="B18" s="828"/>
      <c r="C18" s="943"/>
      <c r="D18" s="943"/>
      <c r="E18" s="943"/>
      <c r="F18" s="943"/>
      <c r="G18" s="943"/>
      <c r="H18" s="943"/>
      <c r="I18" s="941" t="s">
        <v>22</v>
      </c>
      <c r="J18" s="941"/>
      <c r="K18" s="942" t="s">
        <v>22</v>
      </c>
      <c r="L18" s="942"/>
      <c r="M18" s="941" t="s">
        <v>22</v>
      </c>
      <c r="N18" s="941"/>
      <c r="O18" s="942" t="s">
        <v>22</v>
      </c>
      <c r="P18" s="942"/>
      <c r="Q18" s="941" t="s">
        <v>22</v>
      </c>
      <c r="R18" s="941"/>
      <c r="S18" s="942" t="s">
        <v>22</v>
      </c>
      <c r="T18" s="942"/>
      <c r="U18" s="941" t="s">
        <v>22</v>
      </c>
      <c r="V18" s="941"/>
      <c r="W18" s="942" t="s">
        <v>22</v>
      </c>
      <c r="X18" s="942"/>
      <c r="Y18" s="941" t="s">
        <v>22</v>
      </c>
      <c r="Z18" s="941"/>
      <c r="AA18" s="942" t="s">
        <v>22</v>
      </c>
      <c r="AB18" s="942"/>
      <c r="AC18" s="941" t="s">
        <v>22</v>
      </c>
      <c r="AD18" s="941"/>
      <c r="AE18" s="942" t="s">
        <v>22</v>
      </c>
      <c r="AF18" s="942"/>
    </row>
    <row r="19" spans="1:32" ht="50.1" customHeight="1" x14ac:dyDescent="0.25">
      <c r="A19" s="731">
        <f t="shared" si="0"/>
        <v>7</v>
      </c>
      <c r="B19" s="828"/>
      <c r="C19" s="943"/>
      <c r="D19" s="943"/>
      <c r="E19" s="943"/>
      <c r="F19" s="943"/>
      <c r="G19" s="943"/>
      <c r="H19" s="943"/>
      <c r="I19" s="941" t="s">
        <v>22</v>
      </c>
      <c r="J19" s="941"/>
      <c r="K19" s="942" t="s">
        <v>22</v>
      </c>
      <c r="L19" s="942"/>
      <c r="M19" s="941" t="s">
        <v>22</v>
      </c>
      <c r="N19" s="941"/>
      <c r="O19" s="942" t="s">
        <v>22</v>
      </c>
      <c r="P19" s="942"/>
      <c r="Q19" s="941" t="s">
        <v>22</v>
      </c>
      <c r="R19" s="941"/>
      <c r="S19" s="942" t="s">
        <v>22</v>
      </c>
      <c r="T19" s="942"/>
      <c r="U19" s="941" t="s">
        <v>22</v>
      </c>
      <c r="V19" s="941"/>
      <c r="W19" s="942" t="s">
        <v>22</v>
      </c>
      <c r="X19" s="942"/>
      <c r="Y19" s="941" t="s">
        <v>22</v>
      </c>
      <c r="Z19" s="941"/>
      <c r="AA19" s="942" t="s">
        <v>22</v>
      </c>
      <c r="AB19" s="942"/>
      <c r="AC19" s="941" t="s">
        <v>22</v>
      </c>
      <c r="AD19" s="941"/>
      <c r="AE19" s="942" t="s">
        <v>22</v>
      </c>
      <c r="AF19" s="942"/>
    </row>
    <row r="20" spans="1:32" ht="50.1" customHeight="1" x14ac:dyDescent="0.25">
      <c r="A20" s="731">
        <f t="shared" si="0"/>
        <v>8</v>
      </c>
      <c r="B20" s="828"/>
      <c r="C20" s="943"/>
      <c r="D20" s="943"/>
      <c r="E20" s="943"/>
      <c r="F20" s="943"/>
      <c r="G20" s="943"/>
      <c r="H20" s="943"/>
      <c r="I20" s="941" t="s">
        <v>22</v>
      </c>
      <c r="J20" s="941"/>
      <c r="K20" s="942" t="s">
        <v>22</v>
      </c>
      <c r="L20" s="942"/>
      <c r="M20" s="941" t="s">
        <v>22</v>
      </c>
      <c r="N20" s="941"/>
      <c r="O20" s="942" t="s">
        <v>22</v>
      </c>
      <c r="P20" s="942"/>
      <c r="Q20" s="941" t="s">
        <v>22</v>
      </c>
      <c r="R20" s="941"/>
      <c r="S20" s="942" t="s">
        <v>22</v>
      </c>
      <c r="T20" s="942"/>
      <c r="U20" s="941" t="s">
        <v>22</v>
      </c>
      <c r="V20" s="941"/>
      <c r="W20" s="942" t="s">
        <v>22</v>
      </c>
      <c r="X20" s="942"/>
      <c r="Y20" s="941" t="s">
        <v>22</v>
      </c>
      <c r="Z20" s="941"/>
      <c r="AA20" s="942" t="s">
        <v>22</v>
      </c>
      <c r="AB20" s="942"/>
      <c r="AC20" s="941" t="s">
        <v>22</v>
      </c>
      <c r="AD20" s="941"/>
      <c r="AE20" s="942" t="s">
        <v>22</v>
      </c>
      <c r="AF20" s="942"/>
    </row>
    <row r="21" spans="1:32" ht="50.1" customHeight="1" x14ac:dyDescent="0.25">
      <c r="A21" s="731">
        <f t="shared" si="0"/>
        <v>9</v>
      </c>
      <c r="B21" s="828"/>
      <c r="C21" s="943"/>
      <c r="D21" s="943"/>
      <c r="E21" s="943"/>
      <c r="F21" s="943"/>
      <c r="G21" s="943"/>
      <c r="H21" s="943"/>
      <c r="I21" s="941" t="s">
        <v>22</v>
      </c>
      <c r="J21" s="941"/>
      <c r="K21" s="942" t="s">
        <v>22</v>
      </c>
      <c r="L21" s="942"/>
      <c r="M21" s="941" t="s">
        <v>22</v>
      </c>
      <c r="N21" s="941"/>
      <c r="O21" s="942" t="s">
        <v>22</v>
      </c>
      <c r="P21" s="942"/>
      <c r="Q21" s="941" t="s">
        <v>22</v>
      </c>
      <c r="R21" s="941"/>
      <c r="S21" s="942" t="s">
        <v>22</v>
      </c>
      <c r="T21" s="942"/>
      <c r="U21" s="941" t="s">
        <v>22</v>
      </c>
      <c r="V21" s="941"/>
      <c r="W21" s="942" t="s">
        <v>22</v>
      </c>
      <c r="X21" s="942"/>
      <c r="Y21" s="941" t="s">
        <v>22</v>
      </c>
      <c r="Z21" s="941"/>
      <c r="AA21" s="942" t="s">
        <v>22</v>
      </c>
      <c r="AB21" s="942"/>
      <c r="AC21" s="941" t="s">
        <v>22</v>
      </c>
      <c r="AD21" s="941"/>
      <c r="AE21" s="942" t="s">
        <v>22</v>
      </c>
      <c r="AF21" s="942"/>
    </row>
    <row r="22" spans="1:32" ht="50.1" customHeight="1" x14ac:dyDescent="0.25">
      <c r="A22" s="731">
        <f t="shared" si="0"/>
        <v>10</v>
      </c>
      <c r="B22" s="938"/>
      <c r="C22" s="939"/>
      <c r="D22" s="939"/>
      <c r="E22" s="939"/>
      <c r="F22" s="939"/>
      <c r="G22" s="939"/>
      <c r="H22" s="940"/>
      <c r="I22" s="941" t="s">
        <v>22</v>
      </c>
      <c r="J22" s="941"/>
      <c r="K22" s="942" t="s">
        <v>22</v>
      </c>
      <c r="L22" s="942"/>
      <c r="M22" s="941" t="s">
        <v>22</v>
      </c>
      <c r="N22" s="941"/>
      <c r="O22" s="942" t="s">
        <v>22</v>
      </c>
      <c r="P22" s="942"/>
      <c r="Q22" s="941" t="s">
        <v>22</v>
      </c>
      <c r="R22" s="941"/>
      <c r="S22" s="942" t="s">
        <v>22</v>
      </c>
      <c r="T22" s="942"/>
      <c r="U22" s="941" t="s">
        <v>22</v>
      </c>
      <c r="V22" s="941"/>
      <c r="W22" s="942" t="s">
        <v>22</v>
      </c>
      <c r="X22" s="942"/>
      <c r="Y22" s="941" t="s">
        <v>22</v>
      </c>
      <c r="Z22" s="941"/>
      <c r="AA22" s="942" t="s">
        <v>22</v>
      </c>
      <c r="AB22" s="942"/>
      <c r="AC22" s="941" t="s">
        <v>22</v>
      </c>
      <c r="AD22" s="941"/>
      <c r="AE22" s="942" t="s">
        <v>22</v>
      </c>
      <c r="AF22" s="942"/>
    </row>
    <row r="23" spans="1:32" ht="50.1" customHeight="1" x14ac:dyDescent="0.25">
      <c r="A23" s="731">
        <f t="shared" si="0"/>
        <v>11</v>
      </c>
      <c r="B23" s="938"/>
      <c r="C23" s="939"/>
      <c r="D23" s="939"/>
      <c r="E23" s="939"/>
      <c r="F23" s="939"/>
      <c r="G23" s="939"/>
      <c r="H23" s="940"/>
      <c r="I23" s="941" t="s">
        <v>22</v>
      </c>
      <c r="J23" s="941"/>
      <c r="K23" s="942" t="s">
        <v>22</v>
      </c>
      <c r="L23" s="942"/>
      <c r="M23" s="941" t="s">
        <v>22</v>
      </c>
      <c r="N23" s="941"/>
      <c r="O23" s="942" t="s">
        <v>22</v>
      </c>
      <c r="P23" s="942"/>
      <c r="Q23" s="941" t="s">
        <v>22</v>
      </c>
      <c r="R23" s="941"/>
      <c r="S23" s="942" t="s">
        <v>22</v>
      </c>
      <c r="T23" s="942"/>
      <c r="U23" s="941" t="s">
        <v>22</v>
      </c>
      <c r="V23" s="941"/>
      <c r="W23" s="942" t="s">
        <v>22</v>
      </c>
      <c r="X23" s="942"/>
      <c r="Y23" s="941" t="s">
        <v>22</v>
      </c>
      <c r="Z23" s="941"/>
      <c r="AA23" s="942" t="s">
        <v>22</v>
      </c>
      <c r="AB23" s="942"/>
      <c r="AC23" s="941" t="s">
        <v>22</v>
      </c>
      <c r="AD23" s="941"/>
      <c r="AE23" s="942" t="s">
        <v>22</v>
      </c>
      <c r="AF23" s="942"/>
    </row>
    <row r="24" spans="1:32" ht="50.1" customHeight="1" x14ac:dyDescent="0.25">
      <c r="A24" s="731">
        <f t="shared" si="0"/>
        <v>12</v>
      </c>
      <c r="B24" s="938"/>
      <c r="C24" s="939"/>
      <c r="D24" s="939"/>
      <c r="E24" s="939"/>
      <c r="F24" s="939"/>
      <c r="G24" s="939"/>
      <c r="H24" s="940"/>
      <c r="I24" s="941" t="s">
        <v>22</v>
      </c>
      <c r="J24" s="941"/>
      <c r="K24" s="942" t="s">
        <v>22</v>
      </c>
      <c r="L24" s="942"/>
      <c r="M24" s="941" t="s">
        <v>22</v>
      </c>
      <c r="N24" s="941"/>
      <c r="O24" s="942" t="s">
        <v>22</v>
      </c>
      <c r="P24" s="942"/>
      <c r="Q24" s="941" t="s">
        <v>22</v>
      </c>
      <c r="R24" s="941"/>
      <c r="S24" s="942" t="s">
        <v>22</v>
      </c>
      <c r="T24" s="942"/>
      <c r="U24" s="941" t="s">
        <v>22</v>
      </c>
      <c r="V24" s="941"/>
      <c r="W24" s="942" t="s">
        <v>22</v>
      </c>
      <c r="X24" s="942"/>
      <c r="Y24" s="941" t="s">
        <v>22</v>
      </c>
      <c r="Z24" s="941"/>
      <c r="AA24" s="942" t="s">
        <v>22</v>
      </c>
      <c r="AB24" s="942"/>
      <c r="AC24" s="941" t="s">
        <v>22</v>
      </c>
      <c r="AD24" s="941"/>
      <c r="AE24" s="942" t="s">
        <v>22</v>
      </c>
      <c r="AF24" s="942"/>
    </row>
    <row r="25" spans="1:32" ht="50.1" customHeight="1" x14ac:dyDescent="0.25">
      <c r="A25" s="731">
        <f t="shared" si="0"/>
        <v>13</v>
      </c>
      <c r="B25" s="938"/>
      <c r="C25" s="939"/>
      <c r="D25" s="939"/>
      <c r="E25" s="939"/>
      <c r="F25" s="939"/>
      <c r="G25" s="939"/>
      <c r="H25" s="940"/>
      <c r="I25" s="941" t="s">
        <v>22</v>
      </c>
      <c r="J25" s="941"/>
      <c r="K25" s="942" t="s">
        <v>22</v>
      </c>
      <c r="L25" s="942"/>
      <c r="M25" s="941" t="s">
        <v>22</v>
      </c>
      <c r="N25" s="941"/>
      <c r="O25" s="942" t="s">
        <v>22</v>
      </c>
      <c r="P25" s="942"/>
      <c r="Q25" s="941" t="s">
        <v>22</v>
      </c>
      <c r="R25" s="941"/>
      <c r="S25" s="942" t="s">
        <v>22</v>
      </c>
      <c r="T25" s="942"/>
      <c r="U25" s="941" t="s">
        <v>22</v>
      </c>
      <c r="V25" s="941"/>
      <c r="W25" s="942" t="s">
        <v>22</v>
      </c>
      <c r="X25" s="942"/>
      <c r="Y25" s="941" t="s">
        <v>22</v>
      </c>
      <c r="Z25" s="941"/>
      <c r="AA25" s="942" t="s">
        <v>22</v>
      </c>
      <c r="AB25" s="942"/>
      <c r="AC25" s="941" t="s">
        <v>22</v>
      </c>
      <c r="AD25" s="941"/>
      <c r="AE25" s="942" t="s">
        <v>22</v>
      </c>
      <c r="AF25" s="942"/>
    </row>
    <row r="26" spans="1:32" ht="50.1" customHeight="1" x14ac:dyDescent="0.25">
      <c r="A26" s="731">
        <f t="shared" si="0"/>
        <v>14</v>
      </c>
      <c r="B26" s="944"/>
      <c r="C26" s="945"/>
      <c r="D26" s="945"/>
      <c r="E26" s="945"/>
      <c r="F26" s="945"/>
      <c r="G26" s="945"/>
      <c r="H26" s="945"/>
      <c r="I26" s="941" t="s">
        <v>22</v>
      </c>
      <c r="J26" s="941"/>
      <c r="K26" s="942" t="s">
        <v>22</v>
      </c>
      <c r="L26" s="942"/>
      <c r="M26" s="941" t="s">
        <v>22</v>
      </c>
      <c r="N26" s="941"/>
      <c r="O26" s="942" t="s">
        <v>22</v>
      </c>
      <c r="P26" s="942"/>
      <c r="Q26" s="941" t="s">
        <v>22</v>
      </c>
      <c r="R26" s="941"/>
      <c r="S26" s="942" t="s">
        <v>22</v>
      </c>
      <c r="T26" s="942"/>
      <c r="U26" s="941" t="s">
        <v>22</v>
      </c>
      <c r="V26" s="941"/>
      <c r="W26" s="942" t="s">
        <v>22</v>
      </c>
      <c r="X26" s="942"/>
      <c r="Y26" s="941" t="s">
        <v>22</v>
      </c>
      <c r="Z26" s="941"/>
      <c r="AA26" s="942" t="s">
        <v>22</v>
      </c>
      <c r="AB26" s="942"/>
      <c r="AC26" s="941" t="s">
        <v>22</v>
      </c>
      <c r="AD26" s="941"/>
      <c r="AE26" s="942" t="s">
        <v>22</v>
      </c>
      <c r="AF26" s="942"/>
    </row>
    <row r="27" spans="1:32" ht="50.1" customHeight="1" x14ac:dyDescent="0.25">
      <c r="A27" s="731">
        <f t="shared" si="0"/>
        <v>15</v>
      </c>
      <c r="B27" s="944"/>
      <c r="C27" s="945"/>
      <c r="D27" s="945"/>
      <c r="E27" s="945"/>
      <c r="F27" s="945"/>
      <c r="G27" s="945"/>
      <c r="H27" s="945"/>
      <c r="I27" s="941" t="s">
        <v>22</v>
      </c>
      <c r="J27" s="941"/>
      <c r="K27" s="942" t="s">
        <v>22</v>
      </c>
      <c r="L27" s="942"/>
      <c r="M27" s="941" t="s">
        <v>22</v>
      </c>
      <c r="N27" s="941"/>
      <c r="O27" s="942" t="s">
        <v>22</v>
      </c>
      <c r="P27" s="942"/>
      <c r="Q27" s="941" t="s">
        <v>22</v>
      </c>
      <c r="R27" s="941"/>
      <c r="S27" s="942" t="s">
        <v>22</v>
      </c>
      <c r="T27" s="942"/>
      <c r="U27" s="941" t="s">
        <v>22</v>
      </c>
      <c r="V27" s="941"/>
      <c r="W27" s="942" t="s">
        <v>22</v>
      </c>
      <c r="X27" s="942"/>
      <c r="Y27" s="941" t="s">
        <v>22</v>
      </c>
      <c r="Z27" s="941"/>
      <c r="AA27" s="942" t="s">
        <v>22</v>
      </c>
      <c r="AB27" s="942"/>
      <c r="AC27" s="941" t="s">
        <v>22</v>
      </c>
      <c r="AD27" s="941"/>
      <c r="AE27" s="942" t="s">
        <v>22</v>
      </c>
      <c r="AF27" s="942"/>
    </row>
    <row r="28" spans="1:32" ht="50.1" customHeight="1" x14ac:dyDescent="0.25">
      <c r="A28" s="731">
        <f t="shared" si="0"/>
        <v>16</v>
      </c>
      <c r="B28" s="828"/>
      <c r="C28" s="943"/>
      <c r="D28" s="943"/>
      <c r="E28" s="943"/>
      <c r="F28" s="943"/>
      <c r="G28" s="943"/>
      <c r="H28" s="943"/>
      <c r="I28" s="941" t="s">
        <v>22</v>
      </c>
      <c r="J28" s="941"/>
      <c r="K28" s="942" t="s">
        <v>22</v>
      </c>
      <c r="L28" s="942"/>
      <c r="M28" s="941" t="s">
        <v>22</v>
      </c>
      <c r="N28" s="941"/>
      <c r="O28" s="942" t="s">
        <v>22</v>
      </c>
      <c r="P28" s="942"/>
      <c r="Q28" s="941" t="s">
        <v>22</v>
      </c>
      <c r="R28" s="941"/>
      <c r="S28" s="942" t="s">
        <v>22</v>
      </c>
      <c r="T28" s="942"/>
      <c r="U28" s="941" t="s">
        <v>22</v>
      </c>
      <c r="V28" s="941"/>
      <c r="W28" s="942" t="s">
        <v>22</v>
      </c>
      <c r="X28" s="942"/>
      <c r="Y28" s="941" t="s">
        <v>22</v>
      </c>
      <c r="Z28" s="941"/>
      <c r="AA28" s="942" t="s">
        <v>22</v>
      </c>
      <c r="AB28" s="942"/>
      <c r="AC28" s="941" t="s">
        <v>22</v>
      </c>
      <c r="AD28" s="941"/>
      <c r="AE28" s="942" t="s">
        <v>22</v>
      </c>
      <c r="AF28" s="942"/>
    </row>
    <row r="32" spans="1:32" x14ac:dyDescent="0.25">
      <c r="B32" s="828" t="s">
        <v>776</v>
      </c>
      <c r="C32" s="828"/>
      <c r="D32" s="828"/>
      <c r="E32" s="828"/>
      <c r="F32" s="828"/>
      <c r="G32" s="828"/>
      <c r="H32" s="828"/>
    </row>
    <row r="33" spans="2:8" x14ac:dyDescent="0.25">
      <c r="B33" s="828" t="s">
        <v>775</v>
      </c>
      <c r="C33" s="943"/>
      <c r="D33" s="943"/>
      <c r="E33" s="943"/>
      <c r="F33" s="943"/>
      <c r="G33" s="943"/>
      <c r="H33" s="943"/>
    </row>
    <row r="34" spans="2:8" x14ac:dyDescent="0.25">
      <c r="B34" s="828" t="s">
        <v>752</v>
      </c>
      <c r="C34" s="943"/>
      <c r="D34" s="943"/>
      <c r="E34" s="943"/>
      <c r="F34" s="943"/>
      <c r="G34" s="943"/>
      <c r="H34" s="943"/>
    </row>
    <row r="35" spans="2:8" x14ac:dyDescent="0.25">
      <c r="B35" s="950" t="s">
        <v>765</v>
      </c>
      <c r="C35" s="951"/>
      <c r="D35" s="951"/>
      <c r="E35" s="951"/>
      <c r="F35" s="951"/>
      <c r="G35" s="951"/>
      <c r="H35" s="951"/>
    </row>
    <row r="36" spans="2:8" x14ac:dyDescent="0.25">
      <c r="B36" s="828" t="s">
        <v>764</v>
      </c>
      <c r="C36" s="943"/>
      <c r="D36" s="943"/>
      <c r="E36" s="943"/>
      <c r="F36" s="943"/>
      <c r="G36" s="943"/>
      <c r="H36" s="943"/>
    </row>
    <row r="37" spans="2:8" x14ac:dyDescent="0.25">
      <c r="B37" s="828" t="s">
        <v>766</v>
      </c>
      <c r="C37" s="943"/>
      <c r="D37" s="943"/>
      <c r="E37" s="943"/>
      <c r="F37" s="943"/>
      <c r="G37" s="943"/>
      <c r="H37" s="943"/>
    </row>
    <row r="38" spans="2:8" x14ac:dyDescent="0.25">
      <c r="B38" s="828" t="s">
        <v>767</v>
      </c>
      <c r="C38" s="943"/>
      <c r="D38" s="943"/>
      <c r="E38" s="943"/>
      <c r="F38" s="943"/>
      <c r="G38" s="943"/>
      <c r="H38" s="943"/>
    </row>
    <row r="39" spans="2:8" x14ac:dyDescent="0.25">
      <c r="B39" s="828" t="s">
        <v>768</v>
      </c>
      <c r="C39" s="943"/>
      <c r="D39" s="943"/>
      <c r="E39" s="943"/>
      <c r="F39" s="943"/>
      <c r="G39" s="943"/>
      <c r="H39" s="943"/>
    </row>
    <row r="40" spans="2:8" x14ac:dyDescent="0.25">
      <c r="B40" s="938" t="s">
        <v>769</v>
      </c>
      <c r="C40" s="939"/>
      <c r="D40" s="939"/>
      <c r="E40" s="939"/>
      <c r="F40" s="939"/>
      <c r="G40" s="939"/>
      <c r="H40" s="940"/>
    </row>
    <row r="41" spans="2:8" x14ac:dyDescent="0.25">
      <c r="B41" s="938" t="s">
        <v>770</v>
      </c>
      <c r="C41" s="939"/>
      <c r="D41" s="939"/>
      <c r="E41" s="939"/>
      <c r="F41" s="939"/>
      <c r="G41" s="939"/>
      <c r="H41" s="940"/>
    </row>
    <row r="42" spans="2:8" x14ac:dyDescent="0.25">
      <c r="B42" s="938" t="s">
        <v>771</v>
      </c>
      <c r="C42" s="939"/>
      <c r="D42" s="939"/>
      <c r="E42" s="939"/>
      <c r="F42" s="939"/>
      <c r="G42" s="939"/>
      <c r="H42" s="940"/>
    </row>
    <row r="43" spans="2:8" x14ac:dyDescent="0.25">
      <c r="B43" s="938" t="s">
        <v>772</v>
      </c>
      <c r="C43" s="939"/>
      <c r="D43" s="939"/>
      <c r="E43" s="939"/>
      <c r="F43" s="939"/>
      <c r="G43" s="939"/>
      <c r="H43" s="940"/>
    </row>
  </sheetData>
  <mergeCells count="270">
    <mergeCell ref="B41:H41"/>
    <mergeCell ref="B42:H42"/>
    <mergeCell ref="B43:H43"/>
    <mergeCell ref="B16:H16"/>
    <mergeCell ref="I16:J16"/>
    <mergeCell ref="K16:L16"/>
    <mergeCell ref="M16:N16"/>
    <mergeCell ref="O16:P16"/>
    <mergeCell ref="Q16:R16"/>
    <mergeCell ref="B32:H32"/>
    <mergeCell ref="B33:H33"/>
    <mergeCell ref="B34:H34"/>
    <mergeCell ref="B35:H35"/>
    <mergeCell ref="B36:H36"/>
    <mergeCell ref="B37:H37"/>
    <mergeCell ref="B38:H38"/>
    <mergeCell ref="B39:H39"/>
    <mergeCell ref="B40:H40"/>
    <mergeCell ref="B27:H27"/>
    <mergeCell ref="K27:L27"/>
    <mergeCell ref="Q27:R27"/>
    <mergeCell ref="M27:N27"/>
    <mergeCell ref="I28:J28"/>
    <mergeCell ref="K28:L28"/>
    <mergeCell ref="A8:D9"/>
    <mergeCell ref="E8:H9"/>
    <mergeCell ref="I8:L8"/>
    <mergeCell ref="M8:O8"/>
    <mergeCell ref="I9:L9"/>
    <mergeCell ref="M9:O9"/>
    <mergeCell ref="A2:O2"/>
    <mergeCell ref="A3:O3"/>
    <mergeCell ref="A4:O4"/>
    <mergeCell ref="A6:D6"/>
    <mergeCell ref="E6:H6"/>
    <mergeCell ref="I6:L6"/>
    <mergeCell ref="M6:O6"/>
    <mergeCell ref="A7:D7"/>
    <mergeCell ref="E7:H7"/>
    <mergeCell ref="I1:J1"/>
    <mergeCell ref="K1:L1"/>
    <mergeCell ref="M1:N1"/>
    <mergeCell ref="O1:P1"/>
    <mergeCell ref="Q1:R1"/>
    <mergeCell ref="I17:J17"/>
    <mergeCell ref="I18:J18"/>
    <mergeCell ref="I19:J19"/>
    <mergeCell ref="I20:J20"/>
    <mergeCell ref="M10:O10"/>
    <mergeCell ref="I7:L7"/>
    <mergeCell ref="Q17:R17"/>
    <mergeCell ref="Q18:R18"/>
    <mergeCell ref="Q19:R19"/>
    <mergeCell ref="Q20:R20"/>
    <mergeCell ref="I15:J15"/>
    <mergeCell ref="K15:L15"/>
    <mergeCell ref="M15:N15"/>
    <mergeCell ref="O15:P15"/>
    <mergeCell ref="M7:O7"/>
    <mergeCell ref="A5:O5"/>
    <mergeCell ref="B14:H14"/>
    <mergeCell ref="I14:J14"/>
    <mergeCell ref="K14:L14"/>
    <mergeCell ref="B13:H13"/>
    <mergeCell ref="B15:H15"/>
    <mergeCell ref="B17:H17"/>
    <mergeCell ref="B18:H18"/>
    <mergeCell ref="B19:H19"/>
    <mergeCell ref="B20:H20"/>
    <mergeCell ref="A10:D10"/>
    <mergeCell ref="E10:G10"/>
    <mergeCell ref="I10:L10"/>
    <mergeCell ref="A11:O11"/>
    <mergeCell ref="K13:L13"/>
    <mergeCell ref="K17:L17"/>
    <mergeCell ref="K18:L18"/>
    <mergeCell ref="K19:L19"/>
    <mergeCell ref="K20:L20"/>
    <mergeCell ref="M17:N17"/>
    <mergeCell ref="M18:N18"/>
    <mergeCell ref="M19:N19"/>
    <mergeCell ref="M20:N20"/>
    <mergeCell ref="O13:P13"/>
    <mergeCell ref="O17:P17"/>
    <mergeCell ref="O18:P18"/>
    <mergeCell ref="O19:P19"/>
    <mergeCell ref="O20:P20"/>
    <mergeCell ref="AC12:AD12"/>
    <mergeCell ref="AE12:AF12"/>
    <mergeCell ref="I13:J13"/>
    <mergeCell ref="M13:N13"/>
    <mergeCell ref="S13:T13"/>
    <mergeCell ref="Y13:Z13"/>
    <mergeCell ref="AE13:AF13"/>
    <mergeCell ref="AE1:AF1"/>
    <mergeCell ref="B1:H1"/>
    <mergeCell ref="B12:H12"/>
    <mergeCell ref="I12:J12"/>
    <mergeCell ref="K12:L12"/>
    <mergeCell ref="M12:N12"/>
    <mergeCell ref="O12:P12"/>
    <mergeCell ref="Q12:R12"/>
    <mergeCell ref="S12:T12"/>
    <mergeCell ref="U12:V12"/>
    <mergeCell ref="S1:T1"/>
    <mergeCell ref="U1:V1"/>
    <mergeCell ref="W1:X1"/>
    <mergeCell ref="Y1:Z1"/>
    <mergeCell ref="AA1:AB1"/>
    <mergeCell ref="AC1:AD1"/>
    <mergeCell ref="V11:Y11"/>
    <mergeCell ref="W12:X12"/>
    <mergeCell ref="Y12:Z12"/>
    <mergeCell ref="AA12:AB12"/>
    <mergeCell ref="S16:T16"/>
    <mergeCell ref="U16:V16"/>
    <mergeCell ref="W16:X16"/>
    <mergeCell ref="Y16:Z16"/>
    <mergeCell ref="AA16:AB16"/>
    <mergeCell ref="Q13:R13"/>
    <mergeCell ref="W13:X13"/>
    <mergeCell ref="Q15:R15"/>
    <mergeCell ref="W15:X15"/>
    <mergeCell ref="Y15:Z15"/>
    <mergeCell ref="AA15:AB15"/>
    <mergeCell ref="W14:X14"/>
    <mergeCell ref="S18:T18"/>
    <mergeCell ref="S19:T19"/>
    <mergeCell ref="S20:T20"/>
    <mergeCell ref="S27:T27"/>
    <mergeCell ref="U13:V13"/>
    <mergeCell ref="U17:V17"/>
    <mergeCell ref="U18:V18"/>
    <mergeCell ref="U19:V19"/>
    <mergeCell ref="U20:V20"/>
    <mergeCell ref="S15:T15"/>
    <mergeCell ref="S17:T17"/>
    <mergeCell ref="U21:V21"/>
    <mergeCell ref="U14:V14"/>
    <mergeCell ref="U15:V15"/>
    <mergeCell ref="S24:T24"/>
    <mergeCell ref="S23:T23"/>
    <mergeCell ref="AC13:AD13"/>
    <mergeCell ref="AC17:AD17"/>
    <mergeCell ref="AC18:AD18"/>
    <mergeCell ref="AC19:AD19"/>
    <mergeCell ref="AC20:AD20"/>
    <mergeCell ref="AC27:AD27"/>
    <mergeCell ref="Y17:Z17"/>
    <mergeCell ref="Y18:Z18"/>
    <mergeCell ref="Y19:Z19"/>
    <mergeCell ref="Y20:Z20"/>
    <mergeCell ref="Y27:Z27"/>
    <mergeCell ref="AA13:AB13"/>
    <mergeCell ref="AA17:AB17"/>
    <mergeCell ref="AA18:AB18"/>
    <mergeCell ref="AA19:AB19"/>
    <mergeCell ref="AA20:AB20"/>
    <mergeCell ref="AC22:AD22"/>
    <mergeCell ref="Y26:Z26"/>
    <mergeCell ref="AA26:AB26"/>
    <mergeCell ref="AC26:AD26"/>
    <mergeCell ref="Y25:Z25"/>
    <mergeCell ref="AA25:AB25"/>
    <mergeCell ref="AC25:AD25"/>
    <mergeCell ref="Y24:Z24"/>
    <mergeCell ref="AE16:AF16"/>
    <mergeCell ref="AE27:AF27"/>
    <mergeCell ref="AC15:AD15"/>
    <mergeCell ref="AE15:AF15"/>
    <mergeCell ref="Y14:Z14"/>
    <mergeCell ref="AA14:AB14"/>
    <mergeCell ref="AC14:AD14"/>
    <mergeCell ref="AE14:AF14"/>
    <mergeCell ref="Y21:Z21"/>
    <mergeCell ref="AA21:AB21"/>
    <mergeCell ref="AC21:AD21"/>
    <mergeCell ref="AE21:AF21"/>
    <mergeCell ref="AC16:AD16"/>
    <mergeCell ref="AE19:AF19"/>
    <mergeCell ref="AE28:AF28"/>
    <mergeCell ref="U28:V28"/>
    <mergeCell ref="W28:X28"/>
    <mergeCell ref="Y28:Z28"/>
    <mergeCell ref="AA28:AB28"/>
    <mergeCell ref="AC28:AD28"/>
    <mergeCell ref="W21:X21"/>
    <mergeCell ref="AE22:AF22"/>
    <mergeCell ref="W17:X17"/>
    <mergeCell ref="W18:X18"/>
    <mergeCell ref="W19:X19"/>
    <mergeCell ref="W20:X20"/>
    <mergeCell ref="W27:X27"/>
    <mergeCell ref="AE20:AF20"/>
    <mergeCell ref="AE17:AF17"/>
    <mergeCell ref="AE18:AF18"/>
    <mergeCell ref="U24:V24"/>
    <mergeCell ref="W24:X24"/>
    <mergeCell ref="AA24:AB24"/>
    <mergeCell ref="AC24:AD24"/>
    <mergeCell ref="AE24:AF24"/>
    <mergeCell ref="AE26:AF26"/>
    <mergeCell ref="AE23:AF23"/>
    <mergeCell ref="O21:P21"/>
    <mergeCell ref="Q21:R21"/>
    <mergeCell ref="S21:T21"/>
    <mergeCell ref="B26:H26"/>
    <mergeCell ref="M28:N28"/>
    <mergeCell ref="O28:P28"/>
    <mergeCell ref="Q28:R28"/>
    <mergeCell ref="AA27:AB27"/>
    <mergeCell ref="U27:V27"/>
    <mergeCell ref="O27:P27"/>
    <mergeCell ref="I27:J27"/>
    <mergeCell ref="U23:V23"/>
    <mergeCell ref="W23:X23"/>
    <mergeCell ref="Y22:Z22"/>
    <mergeCell ref="AA22:AB22"/>
    <mergeCell ref="B28:H28"/>
    <mergeCell ref="W25:X25"/>
    <mergeCell ref="U26:V26"/>
    <mergeCell ref="W26:X26"/>
    <mergeCell ref="S22:T22"/>
    <mergeCell ref="U22:V22"/>
    <mergeCell ref="W22:X22"/>
    <mergeCell ref="O24:P24"/>
    <mergeCell ref="Q24:R24"/>
    <mergeCell ref="M14:N14"/>
    <mergeCell ref="O14:P14"/>
    <mergeCell ref="Q14:R14"/>
    <mergeCell ref="S14:T14"/>
    <mergeCell ref="S28:T28"/>
    <mergeCell ref="B22:H22"/>
    <mergeCell ref="I22:J22"/>
    <mergeCell ref="K22:L22"/>
    <mergeCell ref="M22:N22"/>
    <mergeCell ref="O22:P22"/>
    <mergeCell ref="Q22:R22"/>
    <mergeCell ref="B21:H21"/>
    <mergeCell ref="I21:J21"/>
    <mergeCell ref="K21:L21"/>
    <mergeCell ref="M21:N21"/>
    <mergeCell ref="M25:N25"/>
    <mergeCell ref="O25:P25"/>
    <mergeCell ref="Q25:R25"/>
    <mergeCell ref="I26:J26"/>
    <mergeCell ref="K26:L26"/>
    <mergeCell ref="M26:N26"/>
    <mergeCell ref="O26:P26"/>
    <mergeCell ref="Q26:R26"/>
    <mergeCell ref="S26:T26"/>
    <mergeCell ref="B24:H24"/>
    <mergeCell ref="I24:J24"/>
    <mergeCell ref="K24:L24"/>
    <mergeCell ref="M24:N24"/>
    <mergeCell ref="Y23:Z23"/>
    <mergeCell ref="AA23:AB23"/>
    <mergeCell ref="AC23:AD23"/>
    <mergeCell ref="AE25:AF25"/>
    <mergeCell ref="S25:T25"/>
    <mergeCell ref="U25:V25"/>
    <mergeCell ref="B23:H23"/>
    <mergeCell ref="I23:J23"/>
    <mergeCell ref="K23:L23"/>
    <mergeCell ref="M23:N23"/>
    <mergeCell ref="O23:P23"/>
    <mergeCell ref="Q23:R23"/>
    <mergeCell ref="B25:H25"/>
    <mergeCell ref="I25:J25"/>
    <mergeCell ref="K25:L25"/>
  </mergeCell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52292FF-3C95-4BBA-AD84-32777A29CCAC}">
          <x14:formula1>
            <xm:f>'Pick List '!$A$4:$A$15</xm:f>
          </x14:formula1>
          <xm:sqref>E10:F10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F3D1F-9F42-422C-89BF-1A74D39E3DB4}">
  <dimension ref="A1:Y14"/>
  <sheetViews>
    <sheetView workbookViewId="0">
      <selection activeCell="D8" sqref="D8"/>
    </sheetView>
  </sheetViews>
  <sheetFormatPr defaultRowHeight="15" x14ac:dyDescent="0.25"/>
  <cols>
    <col min="1" max="1" width="44.7109375" customWidth="1"/>
    <col min="2" max="25" width="15.7109375" customWidth="1"/>
  </cols>
  <sheetData>
    <row r="1" spans="1:25" ht="38.25" x14ac:dyDescent="0.25">
      <c r="A1" s="750" t="s">
        <v>788</v>
      </c>
      <c r="B1" s="751" t="s">
        <v>789</v>
      </c>
      <c r="C1" s="752" t="s">
        <v>790</v>
      </c>
      <c r="D1" s="753" t="s">
        <v>791</v>
      </c>
      <c r="E1" s="754" t="s">
        <v>792</v>
      </c>
      <c r="F1" s="751" t="s">
        <v>793</v>
      </c>
      <c r="G1" s="752" t="s">
        <v>794</v>
      </c>
      <c r="H1" s="753" t="s">
        <v>795</v>
      </c>
      <c r="I1" s="754" t="s">
        <v>796</v>
      </c>
      <c r="J1" s="755" t="s">
        <v>797</v>
      </c>
      <c r="K1" s="755" t="s">
        <v>798</v>
      </c>
      <c r="L1" s="756" t="s">
        <v>799</v>
      </c>
      <c r="M1" s="756" t="s">
        <v>800</v>
      </c>
      <c r="N1" s="755" t="s">
        <v>801</v>
      </c>
      <c r="O1" s="755" t="s">
        <v>802</v>
      </c>
      <c r="P1" s="756" t="s">
        <v>803</v>
      </c>
      <c r="Q1" s="756" t="s">
        <v>804</v>
      </c>
      <c r="R1" s="755" t="s">
        <v>805</v>
      </c>
      <c r="S1" s="755" t="s">
        <v>806</v>
      </c>
      <c r="T1" s="756" t="s">
        <v>807</v>
      </c>
      <c r="U1" s="756" t="s">
        <v>808</v>
      </c>
      <c r="V1" s="755" t="s">
        <v>809</v>
      </c>
      <c r="W1" s="755" t="s">
        <v>810</v>
      </c>
      <c r="X1" s="756" t="s">
        <v>811</v>
      </c>
      <c r="Y1" s="756" t="s">
        <v>812</v>
      </c>
    </row>
    <row r="2" spans="1:25" x14ac:dyDescent="0.25">
      <c r="A2" s="961" t="s">
        <v>813</v>
      </c>
      <c r="B2" s="961"/>
      <c r="C2" s="961"/>
      <c r="D2" s="961"/>
      <c r="E2" s="961"/>
      <c r="F2" s="961"/>
      <c r="G2" s="961"/>
      <c r="H2" s="961"/>
      <c r="I2" s="961"/>
      <c r="J2" s="961"/>
      <c r="K2" s="961"/>
      <c r="L2" s="27"/>
      <c r="M2" s="27"/>
      <c r="N2" s="27"/>
      <c r="O2" s="27"/>
      <c r="P2" s="27"/>
      <c r="Q2" s="27"/>
      <c r="R2" s="27"/>
      <c r="S2" s="27"/>
      <c r="T2" s="27"/>
      <c r="U2" s="27"/>
      <c r="V2" s="27"/>
      <c r="W2" s="27"/>
      <c r="X2" s="27"/>
      <c r="Y2" s="27"/>
    </row>
    <row r="3" spans="1:25" ht="15.75" x14ac:dyDescent="0.25">
      <c r="A3" s="962" t="s">
        <v>821</v>
      </c>
      <c r="B3" s="963"/>
      <c r="C3" s="963"/>
      <c r="D3" s="963"/>
      <c r="E3" s="963"/>
      <c r="F3" s="963"/>
      <c r="G3" s="963"/>
      <c r="H3" s="963"/>
      <c r="I3" s="963"/>
      <c r="J3" s="963"/>
      <c r="K3" s="964"/>
      <c r="L3" s="27"/>
      <c r="M3" s="27"/>
      <c r="N3" s="27"/>
      <c r="O3" s="27"/>
      <c r="P3" s="27"/>
      <c r="Q3" s="27"/>
      <c r="R3" s="27"/>
      <c r="S3" s="27"/>
      <c r="T3" s="27"/>
      <c r="U3" s="27"/>
      <c r="V3" s="27"/>
      <c r="W3" s="27"/>
      <c r="X3" s="27"/>
      <c r="Y3" s="27"/>
    </row>
    <row r="4" spans="1:25" ht="15.75" x14ac:dyDescent="0.25">
      <c r="A4" s="965" t="s">
        <v>822</v>
      </c>
      <c r="B4" s="966"/>
      <c r="C4" s="966"/>
      <c r="D4" s="966"/>
      <c r="E4" s="966"/>
      <c r="F4" s="966"/>
      <c r="G4" s="966"/>
      <c r="H4" s="966"/>
      <c r="I4" s="966"/>
      <c r="J4" s="966"/>
      <c r="K4" s="967"/>
      <c r="L4" s="27"/>
      <c r="M4" s="27"/>
      <c r="N4" s="27"/>
      <c r="O4" s="27"/>
      <c r="P4" s="27"/>
      <c r="Q4" s="27"/>
      <c r="R4" s="27"/>
      <c r="S4" s="27"/>
      <c r="T4" s="27"/>
      <c r="U4" s="27"/>
      <c r="V4" s="27"/>
      <c r="W4" s="27"/>
      <c r="X4" s="27"/>
      <c r="Y4" s="27"/>
    </row>
    <row r="5" spans="1:25" ht="15.75" x14ac:dyDescent="0.25">
      <c r="A5" s="968" t="s">
        <v>21</v>
      </c>
      <c r="B5" s="969"/>
      <c r="C5" s="969"/>
      <c r="D5" s="969"/>
      <c r="E5" s="969"/>
      <c r="F5" s="969"/>
      <c r="G5" s="969"/>
      <c r="H5" s="969"/>
      <c r="I5" s="969"/>
      <c r="J5" s="969"/>
      <c r="K5" s="970"/>
      <c r="L5" s="27"/>
      <c r="M5" s="27"/>
      <c r="N5" s="27"/>
      <c r="O5" s="27"/>
      <c r="P5" s="27"/>
      <c r="Q5" s="27"/>
      <c r="R5" s="27"/>
      <c r="S5" s="27"/>
      <c r="T5" s="27"/>
      <c r="U5" s="27"/>
      <c r="V5" s="27"/>
      <c r="W5" s="27"/>
      <c r="X5" s="27"/>
      <c r="Y5" s="27"/>
    </row>
    <row r="6" spans="1:25" ht="18.75" x14ac:dyDescent="0.25">
      <c r="A6" s="971" t="s">
        <v>814</v>
      </c>
      <c r="B6" s="971"/>
      <c r="C6" s="971"/>
      <c r="D6" s="971"/>
      <c r="E6" s="971"/>
      <c r="F6" s="971"/>
      <c r="G6" s="971"/>
      <c r="H6" s="971"/>
      <c r="I6" s="971"/>
      <c r="J6" s="971"/>
      <c r="K6" s="971"/>
      <c r="L6" s="27"/>
      <c r="M6" s="27"/>
      <c r="N6" s="27"/>
      <c r="O6" s="27"/>
      <c r="P6" s="27"/>
      <c r="Q6" s="27"/>
      <c r="R6" s="27"/>
      <c r="S6" s="27"/>
      <c r="T6" s="27"/>
      <c r="U6" s="27"/>
      <c r="V6" s="27"/>
      <c r="W6" s="27"/>
      <c r="X6" s="27"/>
      <c r="Y6" s="27"/>
    </row>
    <row r="7" spans="1:25" ht="38.25" x14ac:dyDescent="0.25">
      <c r="A7" s="750" t="s">
        <v>788</v>
      </c>
      <c r="B7" s="751" t="s">
        <v>789</v>
      </c>
      <c r="C7" s="752" t="s">
        <v>790</v>
      </c>
      <c r="D7" s="753" t="s">
        <v>791</v>
      </c>
      <c r="E7" s="754" t="s">
        <v>792</v>
      </c>
      <c r="F7" s="751" t="s">
        <v>793</v>
      </c>
      <c r="G7" s="752" t="s">
        <v>794</v>
      </c>
      <c r="H7" s="753" t="s">
        <v>795</v>
      </c>
      <c r="I7" s="754" t="s">
        <v>796</v>
      </c>
      <c r="J7" s="755" t="s">
        <v>797</v>
      </c>
      <c r="K7" s="755" t="s">
        <v>798</v>
      </c>
      <c r="L7" s="756" t="s">
        <v>799</v>
      </c>
      <c r="M7" s="756" t="s">
        <v>800</v>
      </c>
      <c r="N7" s="755" t="s">
        <v>801</v>
      </c>
      <c r="O7" s="755" t="s">
        <v>802</v>
      </c>
      <c r="P7" s="756" t="s">
        <v>803</v>
      </c>
      <c r="Q7" s="756" t="s">
        <v>804</v>
      </c>
      <c r="R7" s="755" t="s">
        <v>805</v>
      </c>
      <c r="S7" s="755" t="s">
        <v>806</v>
      </c>
      <c r="T7" s="756" t="s">
        <v>807</v>
      </c>
      <c r="U7" s="756" t="s">
        <v>808</v>
      </c>
      <c r="V7" s="755" t="s">
        <v>809</v>
      </c>
      <c r="W7" s="755" t="s">
        <v>810</v>
      </c>
      <c r="X7" s="756" t="s">
        <v>811</v>
      </c>
      <c r="Y7" s="756" t="s">
        <v>812</v>
      </c>
    </row>
    <row r="8" spans="1:25" ht="60" customHeight="1" x14ac:dyDescent="0.25">
      <c r="A8" s="757" t="s">
        <v>815</v>
      </c>
      <c r="B8" s="758"/>
      <c r="C8" s="759"/>
      <c r="D8" s="760"/>
      <c r="E8" s="761"/>
      <c r="F8" s="758"/>
      <c r="G8" s="759"/>
      <c r="H8" s="760"/>
      <c r="I8" s="761"/>
      <c r="J8" s="758"/>
      <c r="K8" s="759"/>
      <c r="L8" s="760"/>
      <c r="M8" s="762"/>
      <c r="N8" s="758"/>
      <c r="O8" s="759"/>
      <c r="P8" s="760"/>
      <c r="Q8" s="761"/>
      <c r="R8" s="758"/>
      <c r="S8" s="759"/>
      <c r="T8" s="760"/>
      <c r="U8" s="761"/>
      <c r="V8" s="758"/>
      <c r="W8" s="759"/>
      <c r="X8" s="760"/>
      <c r="Y8" s="761"/>
    </row>
    <row r="9" spans="1:25" ht="60" customHeight="1" x14ac:dyDescent="0.25">
      <c r="A9" s="763" t="s">
        <v>816</v>
      </c>
      <c r="B9" s="764"/>
      <c r="C9" s="765"/>
      <c r="D9" s="766"/>
      <c r="E9" s="767"/>
      <c r="F9" s="764"/>
      <c r="G9" s="765"/>
      <c r="H9" s="766"/>
      <c r="I9" s="767"/>
      <c r="J9" s="764"/>
      <c r="K9" s="765"/>
      <c r="L9" s="766"/>
      <c r="M9" s="768"/>
      <c r="N9" s="764"/>
      <c r="O9" s="765"/>
      <c r="P9" s="766"/>
      <c r="Q9" s="767"/>
      <c r="R9" s="764"/>
      <c r="S9" s="765"/>
      <c r="T9" s="766"/>
      <c r="U9" s="767"/>
      <c r="V9" s="764"/>
      <c r="W9" s="765"/>
      <c r="X9" s="766"/>
      <c r="Y9" s="767"/>
    </row>
    <row r="10" spans="1:25" ht="60" customHeight="1" x14ac:dyDescent="0.25">
      <c r="A10" s="763" t="s">
        <v>817</v>
      </c>
      <c r="B10" s="764"/>
      <c r="C10" s="765"/>
      <c r="D10" s="766"/>
      <c r="E10" s="767"/>
      <c r="F10" s="764"/>
      <c r="G10" s="765"/>
      <c r="H10" s="766"/>
      <c r="I10" s="767"/>
      <c r="J10" s="764"/>
      <c r="K10" s="765"/>
      <c r="L10" s="766"/>
      <c r="M10" s="767"/>
      <c r="N10" s="764"/>
      <c r="O10" s="765"/>
      <c r="P10" s="766"/>
      <c r="Q10" s="767"/>
      <c r="R10" s="764"/>
      <c r="S10" s="765"/>
      <c r="T10" s="766"/>
      <c r="U10" s="767"/>
      <c r="V10" s="764"/>
      <c r="W10" s="765"/>
      <c r="X10" s="766"/>
      <c r="Y10" s="767"/>
    </row>
    <row r="11" spans="1:25" ht="60" customHeight="1" x14ac:dyDescent="0.25">
      <c r="A11" s="763" t="s">
        <v>818</v>
      </c>
      <c r="B11" s="764"/>
      <c r="C11" s="765"/>
      <c r="D11" s="766"/>
      <c r="E11" s="767"/>
      <c r="F11" s="764"/>
      <c r="G11" s="765"/>
      <c r="H11" s="766"/>
      <c r="I11" s="767"/>
      <c r="J11" s="764"/>
      <c r="K11" s="765"/>
      <c r="L11" s="766"/>
      <c r="M11" s="767"/>
      <c r="N11" s="764"/>
      <c r="O11" s="765"/>
      <c r="P11" s="766"/>
      <c r="Q11" s="767"/>
      <c r="R11" s="764"/>
      <c r="S11" s="765"/>
      <c r="T11" s="766"/>
      <c r="U11" s="767"/>
      <c r="V11" s="764"/>
      <c r="W11" s="765"/>
      <c r="X11" s="766"/>
      <c r="Y11" s="767"/>
    </row>
    <row r="12" spans="1:25" ht="60" customHeight="1" x14ac:dyDescent="0.25">
      <c r="A12" s="749" t="s">
        <v>819</v>
      </c>
      <c r="B12" s="764"/>
      <c r="C12" s="765"/>
      <c r="D12" s="766"/>
      <c r="E12" s="767"/>
      <c r="F12" s="764"/>
      <c r="G12" s="765"/>
      <c r="H12" s="766"/>
      <c r="I12" s="767"/>
      <c r="J12" s="764"/>
      <c r="K12" s="765"/>
      <c r="L12" s="766"/>
      <c r="M12" s="767"/>
      <c r="N12" s="764"/>
      <c r="O12" s="765"/>
      <c r="P12" s="766"/>
      <c r="Q12" s="768"/>
      <c r="R12" s="764"/>
      <c r="S12" s="765"/>
      <c r="T12" s="766"/>
      <c r="U12" s="767"/>
      <c r="V12" s="764"/>
      <c r="W12" s="765"/>
      <c r="X12" s="766"/>
      <c r="Y12" s="767"/>
    </row>
    <row r="13" spans="1:25" ht="60" customHeight="1" x14ac:dyDescent="0.25">
      <c r="A13" s="749" t="s">
        <v>820</v>
      </c>
      <c r="B13" s="764"/>
      <c r="C13" s="765"/>
      <c r="D13" s="766"/>
      <c r="E13" s="767"/>
      <c r="F13" s="764"/>
      <c r="G13" s="765"/>
      <c r="H13" s="766"/>
      <c r="I13" s="767"/>
      <c r="J13" s="764"/>
      <c r="K13" s="765"/>
      <c r="L13" s="766"/>
      <c r="M13" s="767"/>
      <c r="N13" s="764"/>
      <c r="O13" s="765"/>
      <c r="P13" s="766"/>
      <c r="Q13" s="767"/>
      <c r="R13" s="764"/>
      <c r="S13" s="765"/>
      <c r="T13" s="766"/>
      <c r="U13" s="768"/>
      <c r="V13" s="764"/>
      <c r="W13" s="765"/>
      <c r="X13" s="766"/>
      <c r="Y13" s="767"/>
    </row>
    <row r="14" spans="1:25" ht="60" customHeight="1" x14ac:dyDescent="0.25">
      <c r="A14" s="763"/>
      <c r="B14" s="764"/>
      <c r="C14" s="765"/>
      <c r="D14" s="766"/>
      <c r="E14" s="767"/>
      <c r="F14" s="764"/>
      <c r="G14" s="765"/>
      <c r="H14" s="766"/>
      <c r="I14" s="767"/>
      <c r="J14" s="764"/>
      <c r="K14" s="765"/>
      <c r="L14" s="766"/>
      <c r="M14" s="767"/>
      <c r="N14" s="764"/>
      <c r="O14" s="765"/>
      <c r="P14" s="766"/>
      <c r="Q14" s="767"/>
      <c r="R14" s="764"/>
      <c r="S14" s="765"/>
      <c r="T14" s="766"/>
      <c r="U14" s="768"/>
      <c r="V14" s="764"/>
      <c r="W14" s="765"/>
      <c r="X14" s="766"/>
      <c r="Y14" s="767"/>
    </row>
  </sheetData>
  <mergeCells count="5">
    <mergeCell ref="A2:K2"/>
    <mergeCell ref="A3:K3"/>
    <mergeCell ref="A4:K4"/>
    <mergeCell ref="A5:K5"/>
    <mergeCell ref="A6:K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A15D9B4-76FF-45C7-A552-54BAD00F54EE}">
          <x14:formula1>
            <xm:f>'Pick List '!$G$163:$G$166</xm:f>
          </x14:formula1>
          <xm:sqref>B8:B14 D8:D14 F8:F14 J8:J14 N8:N14 R8:R14 V8:V14 H8:H14 L8:L14 P8:P14 T8:T14 X8:X14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6CBD8-3412-4B86-81A0-78CEA34A2A48}">
  <sheetPr>
    <tabColor rgb="FF7030A0"/>
  </sheetPr>
  <dimension ref="A1:Q17"/>
  <sheetViews>
    <sheetView workbookViewId="0">
      <selection activeCell="K21" sqref="K21"/>
    </sheetView>
  </sheetViews>
  <sheetFormatPr defaultRowHeight="15" x14ac:dyDescent="0.25"/>
  <cols>
    <col min="2" max="13" width="12.140625" customWidth="1"/>
    <col min="14" max="14" width="14" customWidth="1"/>
    <col min="15" max="15" width="13.140625" customWidth="1"/>
    <col min="16" max="17" width="12.140625" customWidth="1"/>
  </cols>
  <sheetData>
    <row r="1" spans="1:17" ht="15.75" x14ac:dyDescent="0.25">
      <c r="A1" s="972" t="str">
        <f>'BASE GRANTEE INFO &amp; UPDATES'!A1</f>
        <v>WV Bureau for Behavioral Health and Health Facilities -Community Anti-Drug Coalitions of America and Teen Court</v>
      </c>
      <c r="B1" s="973"/>
      <c r="C1" s="973"/>
      <c r="D1" s="973"/>
      <c r="E1" s="973"/>
      <c r="F1" s="973"/>
      <c r="G1" s="973"/>
      <c r="H1" s="973"/>
      <c r="I1" s="973"/>
      <c r="J1" s="973"/>
      <c r="K1" s="973"/>
      <c r="L1" s="973"/>
      <c r="M1" s="973"/>
      <c r="N1" s="973"/>
      <c r="O1" s="973"/>
      <c r="P1" s="973"/>
      <c r="Q1" s="974"/>
    </row>
    <row r="2" spans="1:17" ht="15.75" x14ac:dyDescent="0.25">
      <c r="A2" s="987" t="str">
        <f>'BASE GRANTEE INFO &amp; UPDATES'!A2</f>
        <v>FISCAL YEAR: 2025 (09/30/2024 - 09/29/2025)</v>
      </c>
      <c r="B2" s="988"/>
      <c r="C2" s="988"/>
      <c r="D2" s="988"/>
      <c r="E2" s="988"/>
      <c r="F2" s="988"/>
      <c r="G2" s="988"/>
      <c r="H2" s="988"/>
      <c r="I2" s="988"/>
      <c r="J2" s="988"/>
      <c r="K2" s="988"/>
      <c r="L2" s="988"/>
      <c r="M2" s="988"/>
      <c r="N2" s="988"/>
      <c r="O2" s="988"/>
      <c r="P2" s="988"/>
      <c r="Q2" s="989"/>
    </row>
    <row r="3" spans="1:17" ht="15.75" x14ac:dyDescent="0.25">
      <c r="A3" s="975" t="str">
        <f>'BASE GRANTEE INFO &amp; UPDATES'!A3</f>
        <v xml:space="preserve">Program reports need to be submitted electronically, via e-mail to BBHReporting@wv.gov  within 25 calendar days of the end of each month </v>
      </c>
      <c r="B3" s="976"/>
      <c r="C3" s="976"/>
      <c r="D3" s="976"/>
      <c r="E3" s="976"/>
      <c r="F3" s="976"/>
      <c r="G3" s="976"/>
      <c r="H3" s="976"/>
      <c r="I3" s="976"/>
      <c r="J3" s="976"/>
      <c r="K3" s="976"/>
      <c r="L3" s="976"/>
      <c r="M3" s="976"/>
      <c r="N3" s="976"/>
      <c r="O3" s="976"/>
      <c r="P3" s="976"/>
      <c r="Q3" s="977"/>
    </row>
    <row r="4" spans="1:17" ht="18.75" x14ac:dyDescent="0.25">
      <c r="A4" s="978" t="s">
        <v>929</v>
      </c>
      <c r="B4" s="979"/>
      <c r="C4" s="979"/>
      <c r="D4" s="979"/>
      <c r="E4" s="979"/>
      <c r="F4" s="979"/>
      <c r="G4" s="979"/>
      <c r="H4" s="979"/>
      <c r="I4" s="979"/>
      <c r="J4" s="979"/>
      <c r="K4" s="979"/>
      <c r="L4" s="979"/>
      <c r="M4" s="979"/>
      <c r="N4" s="979"/>
      <c r="O4" s="979"/>
      <c r="P4" s="979"/>
      <c r="Q4" s="980"/>
    </row>
    <row r="5" spans="1:17" ht="30" customHeight="1" x14ac:dyDescent="0.25">
      <c r="A5" s="981" t="s">
        <v>0</v>
      </c>
      <c r="B5" s="981"/>
      <c r="C5" s="981"/>
      <c r="D5" s="981"/>
      <c r="E5" s="982" t="str">
        <f>'BASE GRANTEE INFO &amp; UPDATES'!E5</f>
        <v xml:space="preserve">Community Anti-Drug Coalitions of America (CADCA) and Teen Court </v>
      </c>
      <c r="F5" s="983"/>
      <c r="G5" s="983"/>
      <c r="H5" s="984"/>
      <c r="I5" s="985" t="s">
        <v>1</v>
      </c>
      <c r="J5" s="985"/>
      <c r="K5" s="985"/>
      <c r="L5" s="985"/>
      <c r="M5" s="986">
        <f>'BASE GRANTEE INFO &amp; UPDATES'!M5</f>
        <v>0</v>
      </c>
      <c r="N5" s="986"/>
      <c r="O5" s="986"/>
      <c r="P5" s="986"/>
      <c r="Q5" s="986"/>
    </row>
    <row r="6" spans="1:17" ht="24.95" customHeight="1" x14ac:dyDescent="0.25">
      <c r="A6" s="981" t="s">
        <v>2</v>
      </c>
      <c r="B6" s="981"/>
      <c r="C6" s="981"/>
      <c r="D6" s="981"/>
      <c r="E6" s="990">
        <f>'[1]BASE GRANTEE INFO &amp; UPDATE'!$AT$12</f>
        <v>0</v>
      </c>
      <c r="F6" s="991"/>
      <c r="G6" s="991"/>
      <c r="H6" s="992"/>
      <c r="I6" s="985" t="s">
        <v>3</v>
      </c>
      <c r="J6" s="985"/>
      <c r="K6" s="985"/>
      <c r="L6" s="985"/>
      <c r="M6" s="986">
        <f>'BASE GRANTEE INFO &amp; UPDATES'!M6</f>
        <v>0</v>
      </c>
      <c r="N6" s="986"/>
      <c r="O6" s="986"/>
      <c r="P6" s="986"/>
      <c r="Q6" s="986"/>
    </row>
    <row r="7" spans="1:17" ht="24.95" customHeight="1" x14ac:dyDescent="0.25">
      <c r="A7" s="993" t="s">
        <v>4</v>
      </c>
      <c r="B7" s="993"/>
      <c r="C7" s="993"/>
      <c r="D7" s="993"/>
      <c r="E7" s="994">
        <f>'BASE GRANTEE INFO &amp; UPDATES'!E7</f>
        <v>0</v>
      </c>
      <c r="F7" s="995"/>
      <c r="G7" s="995"/>
      <c r="H7" s="996"/>
      <c r="I7" s="985" t="s">
        <v>374</v>
      </c>
      <c r="J7" s="985"/>
      <c r="K7" s="985"/>
      <c r="L7" s="985"/>
      <c r="M7" s="986">
        <f>'BASE GRANTEE INFO &amp; UPDATES'!M7</f>
        <v>0</v>
      </c>
      <c r="N7" s="986"/>
      <c r="O7" s="986"/>
      <c r="P7" s="986"/>
      <c r="Q7" s="986"/>
    </row>
    <row r="8" spans="1:17" ht="24.95" customHeight="1" x14ac:dyDescent="0.25">
      <c r="A8" s="993"/>
      <c r="B8" s="993"/>
      <c r="C8" s="993"/>
      <c r="D8" s="993"/>
      <c r="E8" s="997"/>
      <c r="F8" s="998"/>
      <c r="G8" s="998"/>
      <c r="H8" s="999"/>
      <c r="I8" s="1000" t="s">
        <v>6</v>
      </c>
      <c r="J8" s="1000"/>
      <c r="K8" s="1000"/>
      <c r="L8" s="1000"/>
      <c r="M8" s="986">
        <f>'BASE GRANTEE INFO &amp; UPDATES'!M8</f>
        <v>0</v>
      </c>
      <c r="N8" s="986"/>
      <c r="O8" s="986"/>
      <c r="P8" s="986"/>
      <c r="Q8" s="986"/>
    </row>
    <row r="9" spans="1:17" ht="24.95" customHeight="1" x14ac:dyDescent="0.25">
      <c r="A9" s="981" t="s">
        <v>7</v>
      </c>
      <c r="B9" s="981"/>
      <c r="C9" s="981"/>
      <c r="D9" s="981"/>
      <c r="E9" s="879" t="str">
        <f>'BASE GRANTEE INFO &amp; UPDATES'!E9</f>
        <v>September 1 - 30</v>
      </c>
      <c r="F9" s="879"/>
      <c r="G9" s="1001">
        <v>2024</v>
      </c>
      <c r="H9" s="1002"/>
      <c r="I9" s="1000" t="s">
        <v>8</v>
      </c>
      <c r="J9" s="1000"/>
      <c r="K9" s="1000"/>
      <c r="L9" s="1000"/>
      <c r="M9" s="986">
        <f>'BASE GRANTEE INFO &amp; UPDATES'!M9</f>
        <v>0</v>
      </c>
      <c r="N9" s="986"/>
      <c r="O9" s="986"/>
      <c r="P9" s="986"/>
      <c r="Q9" s="986"/>
    </row>
    <row r="10" spans="1:17" ht="18.75" x14ac:dyDescent="0.25">
      <c r="A10" s="978" t="s">
        <v>853</v>
      </c>
      <c r="B10" s="979"/>
      <c r="C10" s="979"/>
      <c r="D10" s="979"/>
      <c r="E10" s="979"/>
      <c r="F10" s="979"/>
      <c r="G10" s="979"/>
      <c r="H10" s="979"/>
      <c r="I10" s="979"/>
      <c r="J10" s="979"/>
      <c r="K10" s="979"/>
      <c r="L10" s="979"/>
      <c r="M10" s="979"/>
      <c r="N10" s="979"/>
      <c r="O10" s="979"/>
      <c r="P10" s="979"/>
      <c r="Q10" s="980"/>
    </row>
    <row r="11" spans="1:17" ht="15" customHeight="1" x14ac:dyDescent="0.25">
      <c r="A11" s="780"/>
      <c r="B11" s="780"/>
      <c r="C11" s="780"/>
      <c r="D11" s="780"/>
      <c r="E11" s="1003"/>
      <c r="F11" s="1003"/>
      <c r="G11" s="1003"/>
      <c r="H11" s="1003"/>
      <c r="I11" s="1003"/>
      <c r="J11" s="1003"/>
      <c r="K11" s="1003"/>
      <c r="L11" s="1003"/>
      <c r="M11" s="1003"/>
      <c r="N11" s="1003"/>
      <c r="O11" s="1003"/>
      <c r="P11" s="1003"/>
      <c r="Q11" s="1003"/>
    </row>
    <row r="12" spans="1:17" ht="39.950000000000003" customHeight="1" x14ac:dyDescent="0.25">
      <c r="A12" s="1007" t="s">
        <v>855</v>
      </c>
      <c r="B12" s="1008"/>
      <c r="C12" s="1008"/>
      <c r="D12" s="1009"/>
      <c r="E12" s="775" t="s">
        <v>874</v>
      </c>
      <c r="F12" s="776" t="s">
        <v>875</v>
      </c>
      <c r="G12" s="775" t="s">
        <v>876</v>
      </c>
      <c r="H12" s="776" t="s">
        <v>877</v>
      </c>
      <c r="I12" s="775" t="s">
        <v>878</v>
      </c>
      <c r="J12" s="776" t="s">
        <v>879</v>
      </c>
      <c r="K12" s="775" t="s">
        <v>880</v>
      </c>
      <c r="L12" s="776" t="s">
        <v>881</v>
      </c>
      <c r="M12" s="775" t="s">
        <v>882</v>
      </c>
      <c r="N12" s="776" t="s">
        <v>883</v>
      </c>
      <c r="O12" s="775" t="s">
        <v>884</v>
      </c>
      <c r="P12" s="776" t="s">
        <v>915</v>
      </c>
      <c r="Q12" s="779" t="s">
        <v>856</v>
      </c>
    </row>
    <row r="13" spans="1:17" ht="39.950000000000003" customHeight="1" x14ac:dyDescent="0.25">
      <c r="A13" s="1004" t="s">
        <v>854</v>
      </c>
      <c r="B13" s="1005"/>
      <c r="C13" s="1005"/>
      <c r="D13" s="1006"/>
      <c r="E13" s="774"/>
      <c r="F13" s="777"/>
      <c r="G13" s="774"/>
      <c r="H13" s="777"/>
      <c r="I13" s="774"/>
      <c r="J13" s="777"/>
      <c r="K13" s="774"/>
      <c r="L13" s="777"/>
      <c r="M13" s="774"/>
      <c r="N13" s="777"/>
      <c r="O13" s="774"/>
      <c r="P13" s="777"/>
      <c r="Q13" s="778">
        <f>SUM(E13:P13)</f>
        <v>0</v>
      </c>
    </row>
    <row r="14" spans="1:17" ht="39.950000000000003" customHeight="1" x14ac:dyDescent="0.25">
      <c r="A14" s="1004" t="s">
        <v>921</v>
      </c>
      <c r="B14" s="1005"/>
      <c r="C14" s="1005"/>
      <c r="D14" s="1006"/>
      <c r="E14" s="774"/>
      <c r="F14" s="777"/>
      <c r="G14" s="774"/>
      <c r="H14" s="777"/>
      <c r="I14" s="774"/>
      <c r="J14" s="777"/>
      <c r="K14" s="774"/>
      <c r="L14" s="777"/>
      <c r="M14" s="774"/>
      <c r="N14" s="777"/>
      <c r="O14" s="774"/>
      <c r="P14" s="777"/>
      <c r="Q14" s="778">
        <f t="shared" ref="Q14:Q16" si="0">SUM(E14:P14)</f>
        <v>0</v>
      </c>
    </row>
    <row r="15" spans="1:17" ht="39.950000000000003" customHeight="1" x14ac:dyDescent="0.25">
      <c r="A15" s="1004" t="s">
        <v>922</v>
      </c>
      <c r="B15" s="1005"/>
      <c r="C15" s="1005"/>
      <c r="D15" s="1006"/>
      <c r="E15" s="774"/>
      <c r="F15" s="777"/>
      <c r="G15" s="774"/>
      <c r="H15" s="777"/>
      <c r="I15" s="774"/>
      <c r="J15" s="777"/>
      <c r="K15" s="774"/>
      <c r="L15" s="777"/>
      <c r="M15" s="774"/>
      <c r="N15" s="777"/>
      <c r="O15" s="774"/>
      <c r="P15" s="777"/>
      <c r="Q15" s="778">
        <f t="shared" si="0"/>
        <v>0</v>
      </c>
    </row>
    <row r="16" spans="1:17" ht="39.950000000000003" customHeight="1" x14ac:dyDescent="0.25">
      <c r="A16" s="1004"/>
      <c r="B16" s="1005"/>
      <c r="C16" s="1005"/>
      <c r="D16" s="1006"/>
      <c r="E16" s="774"/>
      <c r="F16" s="777"/>
      <c r="G16" s="774"/>
      <c r="H16" s="777"/>
      <c r="I16" s="774"/>
      <c r="J16" s="777"/>
      <c r="K16" s="774"/>
      <c r="L16" s="777"/>
      <c r="M16" s="774"/>
      <c r="N16" s="777"/>
      <c r="O16" s="774"/>
      <c r="P16" s="777"/>
      <c r="Q16" s="778">
        <f t="shared" si="0"/>
        <v>0</v>
      </c>
    </row>
    <row r="17" spans="1:17" ht="15" customHeight="1" x14ac:dyDescent="0.25">
      <c r="A17" s="780"/>
      <c r="B17" s="780"/>
      <c r="C17" s="780"/>
      <c r="D17" s="780" cm="1">
        <f t="array" aca="1" ref="D17" ca="1">A17:Q17</f>
        <v>0</v>
      </c>
      <c r="E17" s="1003"/>
      <c r="F17" s="1003"/>
      <c r="G17" s="1003"/>
      <c r="H17" s="1003"/>
      <c r="I17" s="1003"/>
      <c r="J17" s="1003"/>
      <c r="K17" s="1003"/>
      <c r="L17" s="1003"/>
      <c r="M17" s="1003"/>
      <c r="N17" s="1003"/>
      <c r="O17" s="1003"/>
      <c r="P17" s="1003"/>
      <c r="Q17" s="1003"/>
    </row>
  </sheetData>
  <sheetProtection algorithmName="SHA-512" hashValue="iZiYjG2Ne5c6lCCIdGSHxlDwdYHVwgmulkhv1B1ZfvIZU6tSLG71ppyHtfol+Xl+wW6azlOlaNLh/Rn9HDucnA==" saltValue="NW2pn0Y+fr59MUHsuM6m0A==" spinCount="100000" sheet="1" objects="1" scenarios="1"/>
  <mergeCells count="31">
    <mergeCell ref="E11:Q11"/>
    <mergeCell ref="E17:Q17"/>
    <mergeCell ref="A14:D14"/>
    <mergeCell ref="A15:D15"/>
    <mergeCell ref="A16:D16"/>
    <mergeCell ref="A13:D13"/>
    <mergeCell ref="A12:D12"/>
    <mergeCell ref="A10:Q10"/>
    <mergeCell ref="A6:D6"/>
    <mergeCell ref="E6:H6"/>
    <mergeCell ref="I6:L6"/>
    <mergeCell ref="M6:Q6"/>
    <mergeCell ref="A7:D8"/>
    <mergeCell ref="E7:H8"/>
    <mergeCell ref="I7:L7"/>
    <mergeCell ref="M7:Q7"/>
    <mergeCell ref="I8:L8"/>
    <mergeCell ref="M8:Q8"/>
    <mergeCell ref="A9:D9"/>
    <mergeCell ref="E9:F9"/>
    <mergeCell ref="G9:H9"/>
    <mergeCell ref="I9:L9"/>
    <mergeCell ref="M9:Q9"/>
    <mergeCell ref="A1:Q1"/>
    <mergeCell ref="A3:Q3"/>
    <mergeCell ref="A4:Q4"/>
    <mergeCell ref="A5:D5"/>
    <mergeCell ref="E5:H5"/>
    <mergeCell ref="I5:L5"/>
    <mergeCell ref="M5:Q5"/>
    <mergeCell ref="A2:Q2"/>
  </mergeCells>
  <dataValidations count="1">
    <dataValidation allowBlank="1" showInputMessage="1" showErrorMessage="1" prompt="Update information on 1BASE GRANTEE INFO &amp; UPDATES tab" sqref="M5:Q9 E5:H9" xr:uid="{EA11F133-1601-49A9-BB5E-41DC9D234A14}"/>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D408C-7C0E-439E-A2FB-A20F5DDD73EC}">
  <dimension ref="A1:G989"/>
  <sheetViews>
    <sheetView workbookViewId="0">
      <selection activeCell="C11" sqref="C11:E11"/>
    </sheetView>
  </sheetViews>
  <sheetFormatPr defaultColWidth="14.42578125" defaultRowHeight="15" x14ac:dyDescent="0.25"/>
  <cols>
    <col min="1" max="1" width="12" customWidth="1"/>
    <col min="2" max="2" width="13.7109375" customWidth="1"/>
    <col min="3" max="3" width="19" customWidth="1"/>
    <col min="4" max="4" width="19.42578125" customWidth="1"/>
    <col min="5" max="5" width="15.85546875" customWidth="1"/>
    <col min="6" max="6" width="19.140625" customWidth="1"/>
    <col min="7" max="20" width="8.7109375" customWidth="1"/>
  </cols>
  <sheetData>
    <row r="1" spans="1:6" ht="21" customHeight="1" x14ac:dyDescent="0.25">
      <c r="A1" s="1018" t="s">
        <v>916</v>
      </c>
      <c r="B1" s="1019"/>
      <c r="C1" s="1019"/>
      <c r="D1" s="1019"/>
      <c r="E1" s="1019"/>
      <c r="F1" s="1020"/>
    </row>
    <row r="2" spans="1:6" ht="44.25" customHeight="1" x14ac:dyDescent="0.25">
      <c r="A2" s="795" t="s">
        <v>917</v>
      </c>
      <c r="B2" s="796" t="s">
        <v>918</v>
      </c>
      <c r="C2" s="1021" t="s">
        <v>919</v>
      </c>
      <c r="D2" s="1022"/>
      <c r="E2" s="1023"/>
      <c r="F2" s="797" t="s">
        <v>920</v>
      </c>
    </row>
    <row r="3" spans="1:6" ht="49.5" customHeight="1" x14ac:dyDescent="0.25">
      <c r="A3" s="798"/>
      <c r="B3" s="799"/>
      <c r="C3" s="1024"/>
      <c r="D3" s="1025"/>
      <c r="E3" s="1026"/>
      <c r="F3" s="800"/>
    </row>
    <row r="4" spans="1:6" ht="49.5" customHeight="1" x14ac:dyDescent="0.25">
      <c r="A4" s="801"/>
      <c r="B4" s="802"/>
      <c r="C4" s="1027"/>
      <c r="D4" s="1028"/>
      <c r="E4" s="1028"/>
      <c r="F4" s="804"/>
    </row>
    <row r="5" spans="1:6" ht="49.5" customHeight="1" x14ac:dyDescent="0.25">
      <c r="A5" s="798"/>
      <c r="B5" s="805"/>
      <c r="C5" s="1029"/>
      <c r="D5" s="1030"/>
      <c r="E5" s="1031"/>
      <c r="F5" s="800"/>
    </row>
    <row r="6" spans="1:6" ht="49.5" customHeight="1" x14ac:dyDescent="0.25">
      <c r="A6" s="806"/>
      <c r="B6" s="807"/>
      <c r="C6" s="1010"/>
      <c r="D6" s="1011"/>
      <c r="E6" s="1012"/>
      <c r="F6" s="808"/>
    </row>
    <row r="7" spans="1:6" ht="49.5" customHeight="1" x14ac:dyDescent="0.25">
      <c r="A7" s="798"/>
      <c r="B7" s="809"/>
      <c r="C7" s="1013"/>
      <c r="D7" s="1011"/>
      <c r="E7" s="1012"/>
      <c r="F7" s="800"/>
    </row>
    <row r="8" spans="1:6" ht="49.5" customHeight="1" x14ac:dyDescent="0.25">
      <c r="A8" s="806"/>
      <c r="B8" s="807"/>
      <c r="C8" s="1010"/>
      <c r="D8" s="1011"/>
      <c r="E8" s="1012"/>
      <c r="F8" s="808"/>
    </row>
    <row r="9" spans="1:6" ht="49.5" customHeight="1" x14ac:dyDescent="0.25">
      <c r="A9" s="798"/>
      <c r="B9" s="809"/>
      <c r="C9" s="1013"/>
      <c r="D9" s="1011"/>
      <c r="E9" s="1012"/>
      <c r="F9" s="800"/>
    </row>
    <row r="10" spans="1:6" ht="49.5" customHeight="1" x14ac:dyDescent="0.25">
      <c r="A10" s="806"/>
      <c r="B10" s="807"/>
      <c r="C10" s="1010"/>
      <c r="D10" s="1011"/>
      <c r="E10" s="1012"/>
      <c r="F10" s="808"/>
    </row>
    <row r="11" spans="1:6" ht="49.5" customHeight="1" x14ac:dyDescent="0.25">
      <c r="A11" s="798"/>
      <c r="B11" s="809"/>
      <c r="C11" s="1013"/>
      <c r="D11" s="1011"/>
      <c r="E11" s="1012"/>
      <c r="F11" s="800"/>
    </row>
    <row r="12" spans="1:6" ht="49.5" customHeight="1" x14ac:dyDescent="0.25">
      <c r="A12" s="806"/>
      <c r="B12" s="807"/>
      <c r="C12" s="1010"/>
      <c r="D12" s="1011"/>
      <c r="E12" s="1012"/>
      <c r="F12" s="808"/>
    </row>
    <row r="13" spans="1:6" ht="49.5" customHeight="1" x14ac:dyDescent="0.25">
      <c r="A13" s="798"/>
      <c r="B13" s="809"/>
      <c r="C13" s="1013"/>
      <c r="D13" s="1011"/>
      <c r="E13" s="1012"/>
      <c r="F13" s="800"/>
    </row>
    <row r="14" spans="1:6" ht="49.5" customHeight="1" x14ac:dyDescent="0.25">
      <c r="A14" s="806"/>
      <c r="B14" s="807"/>
      <c r="C14" s="1010"/>
      <c r="D14" s="1011"/>
      <c r="E14" s="1012"/>
      <c r="F14" s="808"/>
    </row>
    <row r="15" spans="1:6" ht="49.5" customHeight="1" x14ac:dyDescent="0.25">
      <c r="A15" s="798"/>
      <c r="B15" s="809"/>
      <c r="C15" s="1013"/>
      <c r="D15" s="1011"/>
      <c r="E15" s="1012"/>
      <c r="F15" s="800"/>
    </row>
    <row r="16" spans="1:6" ht="49.5" customHeight="1" x14ac:dyDescent="0.25">
      <c r="A16" s="806"/>
      <c r="B16" s="807"/>
      <c r="C16" s="1010"/>
      <c r="D16" s="1011"/>
      <c r="E16" s="1012"/>
      <c r="F16" s="808"/>
    </row>
    <row r="17" spans="1:7" ht="49.5" customHeight="1" x14ac:dyDescent="0.25">
      <c r="A17" s="798"/>
      <c r="B17" s="809"/>
      <c r="C17" s="1013"/>
      <c r="D17" s="1011"/>
      <c r="E17" s="1012"/>
      <c r="F17" s="800"/>
    </row>
    <row r="18" spans="1:7" ht="49.5" customHeight="1" x14ac:dyDescent="0.25">
      <c r="A18" s="806"/>
      <c r="B18" s="807"/>
      <c r="C18" s="1010"/>
      <c r="D18" s="1011"/>
      <c r="E18" s="1012"/>
      <c r="F18" s="808"/>
    </row>
    <row r="19" spans="1:7" ht="49.5" customHeight="1" x14ac:dyDescent="0.25">
      <c r="A19" s="798"/>
      <c r="B19" s="809"/>
      <c r="C19" s="1013"/>
      <c r="D19" s="1011"/>
      <c r="E19" s="1012"/>
      <c r="F19" s="800"/>
    </row>
    <row r="20" spans="1:7" ht="49.5" customHeight="1" x14ac:dyDescent="0.25">
      <c r="A20" s="806"/>
      <c r="B20" s="807"/>
      <c r="C20" s="1010"/>
      <c r="D20" s="1011"/>
      <c r="E20" s="1012"/>
      <c r="F20" s="808"/>
    </row>
    <row r="21" spans="1:7" ht="49.5" customHeight="1" x14ac:dyDescent="0.25">
      <c r="A21" s="798"/>
      <c r="B21" s="809"/>
      <c r="C21" s="1013"/>
      <c r="D21" s="1011"/>
      <c r="E21" s="1012"/>
      <c r="F21" s="810"/>
    </row>
    <row r="22" spans="1:7" ht="49.5" customHeight="1" x14ac:dyDescent="0.25">
      <c r="A22" s="806"/>
      <c r="B22" s="807"/>
      <c r="C22" s="1010"/>
      <c r="D22" s="1011"/>
      <c r="E22" s="1011"/>
      <c r="F22" s="803"/>
      <c r="G22" s="811"/>
    </row>
    <row r="23" spans="1:7" ht="49.5" customHeight="1" x14ac:dyDescent="0.25">
      <c r="A23" s="798"/>
      <c r="B23" s="809"/>
      <c r="C23" s="1013"/>
      <c r="D23" s="1011"/>
      <c r="E23" s="1012"/>
      <c r="F23" s="812"/>
    </row>
    <row r="24" spans="1:7" ht="49.5" customHeight="1" x14ac:dyDescent="0.25">
      <c r="A24" s="806"/>
      <c r="B24" s="807"/>
      <c r="C24" s="1010"/>
      <c r="D24" s="1011"/>
      <c r="E24" s="1012"/>
      <c r="F24" s="808"/>
    </row>
    <row r="25" spans="1:7" ht="49.5" customHeight="1" x14ac:dyDescent="0.25">
      <c r="A25" s="798"/>
      <c r="B25" s="809"/>
      <c r="C25" s="1013"/>
      <c r="D25" s="1011"/>
      <c r="E25" s="1012"/>
      <c r="F25" s="800"/>
    </row>
    <row r="26" spans="1:7" ht="49.5" customHeight="1" x14ac:dyDescent="0.25">
      <c r="A26" s="806"/>
      <c r="B26" s="807"/>
      <c r="C26" s="1010"/>
      <c r="D26" s="1011"/>
      <c r="E26" s="1012"/>
      <c r="F26" s="808"/>
    </row>
    <row r="27" spans="1:7" ht="49.5" customHeight="1" x14ac:dyDescent="0.25">
      <c r="A27" s="798"/>
      <c r="B27" s="809"/>
      <c r="C27" s="1013"/>
      <c r="D27" s="1011"/>
      <c r="E27" s="1012"/>
      <c r="F27" s="800"/>
    </row>
    <row r="28" spans="1:7" ht="49.5" customHeight="1" x14ac:dyDescent="0.25">
      <c r="A28" s="806"/>
      <c r="B28" s="807"/>
      <c r="C28" s="1010"/>
      <c r="D28" s="1011"/>
      <c r="E28" s="1012"/>
      <c r="F28" s="808"/>
    </row>
    <row r="29" spans="1:7" ht="49.5" customHeight="1" x14ac:dyDescent="0.25">
      <c r="A29" s="798"/>
      <c r="B29" s="809"/>
      <c r="C29" s="1013"/>
      <c r="D29" s="1011"/>
      <c r="E29" s="1012"/>
      <c r="F29" s="800"/>
    </row>
    <row r="30" spans="1:7" ht="49.5" customHeight="1" x14ac:dyDescent="0.25">
      <c r="A30" s="806"/>
      <c r="B30" s="807"/>
      <c r="C30" s="1010"/>
      <c r="D30" s="1011"/>
      <c r="E30" s="1012"/>
      <c r="F30" s="808"/>
    </row>
    <row r="31" spans="1:7" ht="49.5" customHeight="1" x14ac:dyDescent="0.25">
      <c r="A31" s="798"/>
      <c r="B31" s="809"/>
      <c r="C31" s="1013"/>
      <c r="D31" s="1011"/>
      <c r="E31" s="1012"/>
      <c r="F31" s="800"/>
    </row>
    <row r="32" spans="1:7" ht="49.5" customHeight="1" x14ac:dyDescent="0.25">
      <c r="A32" s="806"/>
      <c r="B32" s="807"/>
      <c r="C32" s="1010"/>
      <c r="D32" s="1011"/>
      <c r="E32" s="1012"/>
      <c r="F32" s="808"/>
    </row>
    <row r="33" spans="1:6" ht="49.5" customHeight="1" x14ac:dyDescent="0.25">
      <c r="A33" s="798"/>
      <c r="B33" s="809"/>
      <c r="C33" s="1013"/>
      <c r="D33" s="1011"/>
      <c r="E33" s="1012"/>
      <c r="F33" s="800"/>
    </row>
    <row r="34" spans="1:6" ht="49.5" customHeight="1" x14ac:dyDescent="0.25">
      <c r="A34" s="806"/>
      <c r="B34" s="807"/>
      <c r="C34" s="1010"/>
      <c r="D34" s="1011"/>
      <c r="E34" s="1012"/>
      <c r="F34" s="808"/>
    </row>
    <row r="35" spans="1:6" ht="49.5" customHeight="1" x14ac:dyDescent="0.25">
      <c r="A35" s="798"/>
      <c r="B35" s="809"/>
      <c r="C35" s="1013"/>
      <c r="D35" s="1011"/>
      <c r="E35" s="1012"/>
      <c r="F35" s="800"/>
    </row>
    <row r="36" spans="1:6" ht="49.5" customHeight="1" x14ac:dyDescent="0.25">
      <c r="A36" s="806"/>
      <c r="B36" s="807"/>
      <c r="C36" s="1010"/>
      <c r="D36" s="1011"/>
      <c r="E36" s="1012"/>
      <c r="F36" s="808"/>
    </row>
    <row r="37" spans="1:6" ht="49.5" customHeight="1" x14ac:dyDescent="0.25">
      <c r="A37" s="798"/>
      <c r="B37" s="809"/>
      <c r="C37" s="1013"/>
      <c r="D37" s="1011"/>
      <c r="E37" s="1012"/>
      <c r="F37" s="800"/>
    </row>
    <row r="38" spans="1:6" ht="49.5" customHeight="1" x14ac:dyDescent="0.25">
      <c r="A38" s="806"/>
      <c r="B38" s="807"/>
      <c r="C38" s="1010"/>
      <c r="D38" s="1011"/>
      <c r="E38" s="1012"/>
      <c r="F38" s="808"/>
    </row>
    <row r="39" spans="1:6" ht="49.5" customHeight="1" x14ac:dyDescent="0.25">
      <c r="A39" s="798"/>
      <c r="B39" s="809"/>
      <c r="C39" s="1013"/>
      <c r="D39" s="1011"/>
      <c r="E39" s="1012"/>
      <c r="F39" s="800"/>
    </row>
    <row r="40" spans="1:6" ht="49.5" customHeight="1" x14ac:dyDescent="0.25">
      <c r="A40" s="806"/>
      <c r="B40" s="807"/>
      <c r="C40" s="1010"/>
      <c r="D40" s="1011"/>
      <c r="E40" s="1012"/>
      <c r="F40" s="808"/>
    </row>
    <row r="41" spans="1:6" ht="49.5" customHeight="1" x14ac:dyDescent="0.25">
      <c r="A41" s="798"/>
      <c r="B41" s="809"/>
      <c r="C41" s="1013"/>
      <c r="D41" s="1011"/>
      <c r="E41" s="1012"/>
      <c r="F41" s="800"/>
    </row>
    <row r="42" spans="1:6" ht="49.5" customHeight="1" x14ac:dyDescent="0.25">
      <c r="A42" s="806"/>
      <c r="B42" s="807"/>
      <c r="C42" s="1010"/>
      <c r="D42" s="1011"/>
      <c r="E42" s="1012"/>
      <c r="F42" s="808"/>
    </row>
    <row r="43" spans="1:6" ht="49.5" customHeight="1" x14ac:dyDescent="0.25">
      <c r="A43" s="798"/>
      <c r="B43" s="809"/>
      <c r="C43" s="1013"/>
      <c r="D43" s="1011"/>
      <c r="E43" s="1012"/>
      <c r="F43" s="800"/>
    </row>
    <row r="44" spans="1:6" ht="49.5" customHeight="1" x14ac:dyDescent="0.25">
      <c r="A44" s="806"/>
      <c r="B44" s="807"/>
      <c r="C44" s="1010"/>
      <c r="D44" s="1011"/>
      <c r="E44" s="1012"/>
      <c r="F44" s="808"/>
    </row>
    <row r="45" spans="1:6" ht="49.5" customHeight="1" x14ac:dyDescent="0.25">
      <c r="A45" s="798"/>
      <c r="B45" s="809"/>
      <c r="C45" s="1013"/>
      <c r="D45" s="1011"/>
      <c r="E45" s="1012"/>
      <c r="F45" s="808"/>
    </row>
    <row r="46" spans="1:6" ht="49.5" customHeight="1" x14ac:dyDescent="0.25">
      <c r="A46" s="806"/>
      <c r="B46" s="807"/>
      <c r="C46" s="1010"/>
      <c r="D46" s="1011"/>
      <c r="E46" s="1012"/>
      <c r="F46" s="808"/>
    </row>
    <row r="47" spans="1:6" ht="49.5" customHeight="1" x14ac:dyDescent="0.25">
      <c r="A47" s="798"/>
      <c r="B47" s="809"/>
      <c r="C47" s="1013"/>
      <c r="D47" s="1011"/>
      <c r="E47" s="1012"/>
      <c r="F47" s="800"/>
    </row>
    <row r="48" spans="1:6" ht="49.5" customHeight="1" x14ac:dyDescent="0.25">
      <c r="A48" s="806"/>
      <c r="B48" s="807"/>
      <c r="C48" s="1010"/>
      <c r="D48" s="1011"/>
      <c r="E48" s="1012"/>
      <c r="F48" s="808"/>
    </row>
    <row r="49" spans="1:6" ht="49.5" customHeight="1" x14ac:dyDescent="0.25">
      <c r="A49" s="798"/>
      <c r="B49" s="809"/>
      <c r="C49" s="1013"/>
      <c r="D49" s="1011"/>
      <c r="E49" s="1012"/>
      <c r="F49" s="800"/>
    </row>
    <row r="50" spans="1:6" ht="49.5" customHeight="1" x14ac:dyDescent="0.25">
      <c r="A50" s="806"/>
      <c r="B50" s="807"/>
      <c r="C50" s="1010"/>
      <c r="D50" s="1011"/>
      <c r="E50" s="1012"/>
      <c r="F50" s="808"/>
    </row>
    <row r="51" spans="1:6" ht="49.5" customHeight="1" x14ac:dyDescent="0.25">
      <c r="A51" s="798"/>
      <c r="B51" s="809"/>
      <c r="C51" s="1013"/>
      <c r="D51" s="1011"/>
      <c r="E51" s="1012"/>
      <c r="F51" s="800"/>
    </row>
    <row r="52" spans="1:6" ht="49.5" customHeight="1" x14ac:dyDescent="0.25">
      <c r="A52" s="806"/>
      <c r="B52" s="807"/>
      <c r="C52" s="1010"/>
      <c r="D52" s="1011"/>
      <c r="E52" s="1012"/>
      <c r="F52" s="808"/>
    </row>
    <row r="53" spans="1:6" ht="49.5" customHeight="1" x14ac:dyDescent="0.25">
      <c r="A53" s="798"/>
      <c r="B53" s="809"/>
      <c r="C53" s="1013"/>
      <c r="D53" s="1011"/>
      <c r="E53" s="1012"/>
      <c r="F53" s="800"/>
    </row>
    <row r="54" spans="1:6" ht="49.5" customHeight="1" x14ac:dyDescent="0.25">
      <c r="A54" s="806"/>
      <c r="B54" s="807"/>
      <c r="C54" s="1010"/>
      <c r="D54" s="1011"/>
      <c r="E54" s="1012"/>
      <c r="F54" s="808"/>
    </row>
    <row r="55" spans="1:6" ht="49.5" customHeight="1" x14ac:dyDescent="0.25">
      <c r="A55" s="798"/>
      <c r="B55" s="809"/>
      <c r="C55" s="1013"/>
      <c r="D55" s="1011"/>
      <c r="E55" s="1012"/>
      <c r="F55" s="800"/>
    </row>
    <row r="56" spans="1:6" ht="49.5" customHeight="1" x14ac:dyDescent="0.25">
      <c r="A56" s="806"/>
      <c r="B56" s="807"/>
      <c r="C56" s="1010"/>
      <c r="D56" s="1011"/>
      <c r="E56" s="1012"/>
      <c r="F56" s="808"/>
    </row>
    <row r="57" spans="1:6" ht="49.5" customHeight="1" x14ac:dyDescent="0.25">
      <c r="A57" s="798"/>
      <c r="B57" s="809"/>
      <c r="C57" s="1013"/>
      <c r="D57" s="1011"/>
      <c r="E57" s="1012"/>
      <c r="F57" s="800"/>
    </row>
    <row r="58" spans="1:6" ht="49.5" customHeight="1" x14ac:dyDescent="0.25">
      <c r="A58" s="806"/>
      <c r="B58" s="807"/>
      <c r="C58" s="1010"/>
      <c r="D58" s="1011"/>
      <c r="E58" s="1012"/>
      <c r="F58" s="808"/>
    </row>
    <row r="59" spans="1:6" ht="49.5" customHeight="1" x14ac:dyDescent="0.25">
      <c r="A59" s="798"/>
      <c r="B59" s="809"/>
      <c r="C59" s="1013"/>
      <c r="D59" s="1011"/>
      <c r="E59" s="1012"/>
      <c r="F59" s="800"/>
    </row>
    <row r="60" spans="1:6" ht="49.5" customHeight="1" x14ac:dyDescent="0.25">
      <c r="A60" s="806"/>
      <c r="B60" s="807"/>
      <c r="C60" s="1010"/>
      <c r="D60" s="1011"/>
      <c r="E60" s="1012"/>
      <c r="F60" s="808"/>
    </row>
    <row r="61" spans="1:6" ht="49.5" customHeight="1" x14ac:dyDescent="0.25">
      <c r="A61" s="798"/>
      <c r="B61" s="809"/>
      <c r="C61" s="1013"/>
      <c r="D61" s="1011"/>
      <c r="E61" s="1012"/>
      <c r="F61" s="800"/>
    </row>
    <row r="62" spans="1:6" ht="49.5" customHeight="1" x14ac:dyDescent="0.25">
      <c r="A62" s="806"/>
      <c r="B62" s="807"/>
      <c r="C62" s="1010"/>
      <c r="D62" s="1011"/>
      <c r="E62" s="1012"/>
      <c r="F62" s="808"/>
    </row>
    <row r="63" spans="1:6" ht="49.5" customHeight="1" x14ac:dyDescent="0.25">
      <c r="A63" s="798"/>
      <c r="B63" s="809"/>
      <c r="C63" s="1013"/>
      <c r="D63" s="1011"/>
      <c r="E63" s="1012"/>
      <c r="F63" s="800"/>
    </row>
    <row r="64" spans="1:6" ht="49.5" customHeight="1" x14ac:dyDescent="0.25">
      <c r="A64" s="806"/>
      <c r="B64" s="807"/>
      <c r="C64" s="1010"/>
      <c r="D64" s="1011"/>
      <c r="E64" s="1012"/>
      <c r="F64" s="808"/>
    </row>
    <row r="65" spans="1:6" ht="49.5" customHeight="1" x14ac:dyDescent="0.25">
      <c r="A65" s="798"/>
      <c r="B65" s="809"/>
      <c r="C65" s="1013"/>
      <c r="D65" s="1011"/>
      <c r="E65" s="1012"/>
      <c r="F65" s="800"/>
    </row>
    <row r="66" spans="1:6" ht="49.5" customHeight="1" x14ac:dyDescent="0.25">
      <c r="A66" s="806"/>
      <c r="B66" s="807"/>
      <c r="C66" s="1010"/>
      <c r="D66" s="1011"/>
      <c r="E66" s="1012"/>
      <c r="F66" s="808"/>
    </row>
    <row r="67" spans="1:6" ht="49.5" customHeight="1" x14ac:dyDescent="0.25">
      <c r="A67" s="798"/>
      <c r="B67" s="809"/>
      <c r="C67" s="1013"/>
      <c r="D67" s="1011"/>
      <c r="E67" s="1012"/>
      <c r="F67" s="800"/>
    </row>
    <row r="68" spans="1:6" ht="49.5" customHeight="1" x14ac:dyDescent="0.25">
      <c r="A68" s="806"/>
      <c r="B68" s="807"/>
      <c r="C68" s="1010"/>
      <c r="D68" s="1011"/>
      <c r="E68" s="1012"/>
      <c r="F68" s="808"/>
    </row>
    <row r="69" spans="1:6" ht="49.5" customHeight="1" x14ac:dyDescent="0.25">
      <c r="A69" s="798"/>
      <c r="B69" s="809"/>
      <c r="C69" s="1013"/>
      <c r="D69" s="1011"/>
      <c r="E69" s="1012"/>
      <c r="F69" s="800"/>
    </row>
    <row r="70" spans="1:6" ht="49.5" customHeight="1" x14ac:dyDescent="0.25">
      <c r="A70" s="806"/>
      <c r="B70" s="807"/>
      <c r="C70" s="1010"/>
      <c r="D70" s="1011"/>
      <c r="E70" s="1012"/>
      <c r="F70" s="808"/>
    </row>
    <row r="71" spans="1:6" ht="49.5" customHeight="1" x14ac:dyDescent="0.25">
      <c r="A71" s="798"/>
      <c r="B71" s="809"/>
      <c r="C71" s="1013"/>
      <c r="D71" s="1011"/>
      <c r="E71" s="1012"/>
      <c r="F71" s="800"/>
    </row>
    <row r="72" spans="1:6" ht="49.5" customHeight="1" x14ac:dyDescent="0.25">
      <c r="A72" s="806"/>
      <c r="B72" s="807"/>
      <c r="C72" s="1010"/>
      <c r="D72" s="1011"/>
      <c r="E72" s="1012"/>
      <c r="F72" s="808"/>
    </row>
    <row r="73" spans="1:6" ht="49.5" customHeight="1" x14ac:dyDescent="0.25">
      <c r="A73" s="798"/>
      <c r="B73" s="809"/>
      <c r="C73" s="1013"/>
      <c r="D73" s="1011"/>
      <c r="E73" s="1012"/>
      <c r="F73" s="800"/>
    </row>
    <row r="74" spans="1:6" ht="49.5" customHeight="1" x14ac:dyDescent="0.25">
      <c r="A74" s="806"/>
      <c r="B74" s="807"/>
      <c r="C74" s="1010"/>
      <c r="D74" s="1011"/>
      <c r="E74" s="1012"/>
      <c r="F74" s="808"/>
    </row>
    <row r="75" spans="1:6" ht="49.5" customHeight="1" x14ac:dyDescent="0.25">
      <c r="A75" s="798"/>
      <c r="B75" s="809"/>
      <c r="C75" s="1013"/>
      <c r="D75" s="1011"/>
      <c r="E75" s="1012"/>
      <c r="F75" s="800"/>
    </row>
    <row r="76" spans="1:6" ht="49.5" customHeight="1" x14ac:dyDescent="0.25">
      <c r="A76" s="806"/>
      <c r="B76" s="807"/>
      <c r="C76" s="1010"/>
      <c r="D76" s="1011"/>
      <c r="E76" s="1012"/>
      <c r="F76" s="808"/>
    </row>
    <row r="77" spans="1:6" ht="49.5" customHeight="1" x14ac:dyDescent="0.25">
      <c r="A77" s="798"/>
      <c r="B77" s="809"/>
      <c r="C77" s="1013"/>
      <c r="D77" s="1011"/>
      <c r="E77" s="1012"/>
      <c r="F77" s="800"/>
    </row>
    <row r="78" spans="1:6" ht="49.5" customHeight="1" x14ac:dyDescent="0.25">
      <c r="A78" s="806"/>
      <c r="B78" s="807"/>
      <c r="C78" s="1010"/>
      <c r="D78" s="1011"/>
      <c r="E78" s="1012"/>
      <c r="F78" s="808"/>
    </row>
    <row r="79" spans="1:6" ht="49.5" customHeight="1" x14ac:dyDescent="0.25">
      <c r="A79" s="798"/>
      <c r="B79" s="809"/>
      <c r="C79" s="1013"/>
      <c r="D79" s="1011"/>
      <c r="E79" s="1012"/>
      <c r="F79" s="800"/>
    </row>
    <row r="80" spans="1:6" ht="49.5" customHeight="1" x14ac:dyDescent="0.25">
      <c r="A80" s="806"/>
      <c r="B80" s="807"/>
      <c r="C80" s="1010"/>
      <c r="D80" s="1011"/>
      <c r="E80" s="1012"/>
      <c r="F80" s="808"/>
    </row>
    <row r="81" spans="1:6" ht="49.5" customHeight="1" x14ac:dyDescent="0.25">
      <c r="A81" s="798"/>
      <c r="B81" s="809"/>
      <c r="C81" s="1013"/>
      <c r="D81" s="1011"/>
      <c r="E81" s="1012"/>
      <c r="F81" s="800"/>
    </row>
    <row r="82" spans="1:6" ht="49.5" customHeight="1" x14ac:dyDescent="0.25">
      <c r="A82" s="806"/>
      <c r="B82" s="807"/>
      <c r="C82" s="1010"/>
      <c r="D82" s="1011"/>
      <c r="E82" s="1012"/>
      <c r="F82" s="808"/>
    </row>
    <row r="83" spans="1:6" ht="49.5" customHeight="1" x14ac:dyDescent="0.25">
      <c r="A83" s="798"/>
      <c r="B83" s="809"/>
      <c r="C83" s="1013"/>
      <c r="D83" s="1011"/>
      <c r="E83" s="1012"/>
      <c r="F83" s="800"/>
    </row>
    <row r="84" spans="1:6" ht="49.5" customHeight="1" x14ac:dyDescent="0.25">
      <c r="A84" s="806"/>
      <c r="B84" s="807"/>
      <c r="C84" s="1010"/>
      <c r="D84" s="1011"/>
      <c r="E84" s="1012"/>
      <c r="F84" s="808"/>
    </row>
    <row r="85" spans="1:6" ht="49.5" customHeight="1" x14ac:dyDescent="0.25">
      <c r="A85" s="798"/>
      <c r="B85" s="809"/>
      <c r="C85" s="1013"/>
      <c r="D85" s="1011"/>
      <c r="E85" s="1012"/>
      <c r="F85" s="800"/>
    </row>
    <row r="86" spans="1:6" ht="49.5" customHeight="1" x14ac:dyDescent="0.25">
      <c r="A86" s="806"/>
      <c r="B86" s="807"/>
      <c r="C86" s="1010"/>
      <c r="D86" s="1011"/>
      <c r="E86" s="1012"/>
      <c r="F86" s="808"/>
    </row>
    <row r="87" spans="1:6" ht="49.5" customHeight="1" x14ac:dyDescent="0.25">
      <c r="A87" s="798"/>
      <c r="B87" s="809"/>
      <c r="C87" s="1013"/>
      <c r="D87" s="1011"/>
      <c r="E87" s="1012"/>
      <c r="F87" s="800"/>
    </row>
    <row r="88" spans="1:6" ht="49.5" customHeight="1" x14ac:dyDescent="0.25">
      <c r="A88" s="806"/>
      <c r="B88" s="807"/>
      <c r="C88" s="1010"/>
      <c r="D88" s="1011"/>
      <c r="E88" s="1012"/>
      <c r="F88" s="808"/>
    </row>
    <row r="89" spans="1:6" ht="49.5" customHeight="1" x14ac:dyDescent="0.25">
      <c r="A89" s="798"/>
      <c r="B89" s="809"/>
      <c r="C89" s="1013"/>
      <c r="D89" s="1011"/>
      <c r="E89" s="1012"/>
      <c r="F89" s="800"/>
    </row>
    <row r="90" spans="1:6" ht="49.5" customHeight="1" x14ac:dyDescent="0.25">
      <c r="A90" s="806"/>
      <c r="B90" s="807"/>
      <c r="C90" s="1010"/>
      <c r="D90" s="1011"/>
      <c r="E90" s="1012"/>
      <c r="F90" s="813"/>
    </row>
    <row r="91" spans="1:6" ht="49.5" customHeight="1" x14ac:dyDescent="0.25">
      <c r="A91" s="798"/>
      <c r="B91" s="809"/>
      <c r="C91" s="1013"/>
      <c r="D91" s="1011"/>
      <c r="E91" s="1012"/>
      <c r="F91" s="800"/>
    </row>
    <row r="92" spans="1:6" ht="49.5" customHeight="1" x14ac:dyDescent="0.25">
      <c r="A92" s="806"/>
      <c r="B92" s="807"/>
      <c r="C92" s="1010"/>
      <c r="D92" s="1011"/>
      <c r="E92" s="1012"/>
      <c r="F92" s="808"/>
    </row>
    <row r="93" spans="1:6" ht="49.5" customHeight="1" x14ac:dyDescent="0.25">
      <c r="A93" s="798"/>
      <c r="B93" s="809"/>
      <c r="C93" s="1013"/>
      <c r="D93" s="1011"/>
      <c r="E93" s="1012"/>
      <c r="F93" s="800"/>
    </row>
    <row r="94" spans="1:6" ht="49.5" customHeight="1" x14ac:dyDescent="0.25">
      <c r="A94" s="806"/>
      <c r="B94" s="807"/>
      <c r="C94" s="1010"/>
      <c r="D94" s="1011"/>
      <c r="E94" s="1012"/>
      <c r="F94" s="808"/>
    </row>
    <row r="95" spans="1:6" ht="49.5" customHeight="1" x14ac:dyDescent="0.25">
      <c r="A95" s="798"/>
      <c r="B95" s="809"/>
      <c r="C95" s="1013"/>
      <c r="D95" s="1011"/>
      <c r="E95" s="1012"/>
      <c r="F95" s="814"/>
    </row>
    <row r="96" spans="1:6" ht="49.5" customHeight="1" x14ac:dyDescent="0.25">
      <c r="A96" s="806"/>
      <c r="B96" s="807"/>
      <c r="C96" s="1010"/>
      <c r="D96" s="1011"/>
      <c r="E96" s="1012"/>
      <c r="F96" s="808"/>
    </row>
    <row r="97" spans="1:6" ht="49.5" customHeight="1" x14ac:dyDescent="0.25">
      <c r="A97" s="798"/>
      <c r="B97" s="809"/>
      <c r="C97" s="1013"/>
      <c r="D97" s="1011"/>
      <c r="E97" s="1012"/>
      <c r="F97" s="800"/>
    </row>
    <row r="98" spans="1:6" ht="49.5" customHeight="1" x14ac:dyDescent="0.25">
      <c r="A98" s="806"/>
      <c r="B98" s="807"/>
      <c r="C98" s="1010"/>
      <c r="D98" s="1011"/>
      <c r="E98" s="1012"/>
      <c r="F98" s="808"/>
    </row>
    <row r="99" spans="1:6" ht="49.5" customHeight="1" x14ac:dyDescent="0.25">
      <c r="A99" s="798"/>
      <c r="B99" s="809"/>
      <c r="C99" s="1013"/>
      <c r="D99" s="1011"/>
      <c r="E99" s="1012"/>
      <c r="F99" s="800"/>
    </row>
    <row r="100" spans="1:6" ht="49.5" customHeight="1" x14ac:dyDescent="0.25">
      <c r="A100" s="806"/>
      <c r="B100" s="807"/>
      <c r="C100" s="1010"/>
      <c r="D100" s="1011"/>
      <c r="E100" s="1012"/>
      <c r="F100" s="808"/>
    </row>
    <row r="101" spans="1:6" ht="49.5" customHeight="1" x14ac:dyDescent="0.25">
      <c r="A101" s="798"/>
      <c r="B101" s="809"/>
      <c r="C101" s="1013"/>
      <c r="D101" s="1011"/>
      <c r="E101" s="1012"/>
      <c r="F101" s="800"/>
    </row>
    <row r="102" spans="1:6" ht="49.5" customHeight="1" x14ac:dyDescent="0.25">
      <c r="A102" s="806"/>
      <c r="B102" s="807"/>
      <c r="C102" s="1010"/>
      <c r="D102" s="1011"/>
      <c r="E102" s="1012"/>
      <c r="F102" s="808"/>
    </row>
    <row r="103" spans="1:6" ht="49.5" customHeight="1" x14ac:dyDescent="0.25">
      <c r="A103" s="798"/>
      <c r="B103" s="809"/>
      <c r="C103" s="1013"/>
      <c r="D103" s="1011"/>
      <c r="E103" s="1012"/>
      <c r="F103" s="800"/>
    </row>
    <row r="104" spans="1:6" ht="49.5" customHeight="1" x14ac:dyDescent="0.25">
      <c r="A104" s="806"/>
      <c r="B104" s="807"/>
      <c r="C104" s="1010"/>
      <c r="D104" s="1011"/>
      <c r="E104" s="1012"/>
      <c r="F104" s="800"/>
    </row>
    <row r="105" spans="1:6" ht="49.5" customHeight="1" x14ac:dyDescent="0.25">
      <c r="A105" s="798"/>
      <c r="B105" s="809"/>
      <c r="C105" s="1013"/>
      <c r="D105" s="1011"/>
      <c r="E105" s="1012"/>
      <c r="F105" s="800"/>
    </row>
    <row r="106" spans="1:6" ht="49.5" customHeight="1" x14ac:dyDescent="0.25">
      <c r="A106" s="806"/>
      <c r="B106" s="807"/>
      <c r="C106" s="1010"/>
      <c r="D106" s="1011"/>
      <c r="E106" s="1012"/>
      <c r="F106" s="808"/>
    </row>
    <row r="107" spans="1:6" ht="49.5" customHeight="1" x14ac:dyDescent="0.25">
      <c r="A107" s="798"/>
      <c r="B107" s="809"/>
      <c r="C107" s="1013"/>
      <c r="D107" s="1011"/>
      <c r="E107" s="1012"/>
      <c r="F107" s="800"/>
    </row>
    <row r="108" spans="1:6" ht="49.5" customHeight="1" x14ac:dyDescent="0.25">
      <c r="A108" s="806"/>
      <c r="B108" s="807"/>
      <c r="C108" s="1010"/>
      <c r="D108" s="1011"/>
      <c r="E108" s="1012"/>
      <c r="F108" s="800"/>
    </row>
    <row r="109" spans="1:6" ht="49.5" customHeight="1" x14ac:dyDescent="0.25">
      <c r="A109" s="798"/>
      <c r="B109" s="809"/>
      <c r="C109" s="1013"/>
      <c r="D109" s="1011"/>
      <c r="E109" s="1012"/>
      <c r="F109" s="800"/>
    </row>
    <row r="110" spans="1:6" ht="49.5" customHeight="1" x14ac:dyDescent="0.25">
      <c r="A110" s="806"/>
      <c r="B110" s="807"/>
      <c r="C110" s="1010"/>
      <c r="D110" s="1011"/>
      <c r="E110" s="1012"/>
      <c r="F110" s="808"/>
    </row>
    <row r="111" spans="1:6" ht="49.5" customHeight="1" x14ac:dyDescent="0.25">
      <c r="A111" s="798"/>
      <c r="B111" s="809"/>
      <c r="C111" s="1013"/>
      <c r="D111" s="1011"/>
      <c r="E111" s="1012"/>
      <c r="F111" s="800"/>
    </row>
    <row r="112" spans="1:6" ht="49.5" customHeight="1" x14ac:dyDescent="0.25">
      <c r="A112" s="806"/>
      <c r="B112" s="807"/>
      <c r="C112" s="1010"/>
      <c r="D112" s="1011"/>
      <c r="E112" s="1012"/>
      <c r="F112" s="808"/>
    </row>
    <row r="113" spans="1:6" ht="49.5" customHeight="1" x14ac:dyDescent="0.25">
      <c r="A113" s="798"/>
      <c r="B113" s="809"/>
      <c r="C113" s="1013"/>
      <c r="D113" s="1011"/>
      <c r="E113" s="1012"/>
      <c r="F113" s="800"/>
    </row>
    <row r="114" spans="1:6" ht="49.5" customHeight="1" x14ac:dyDescent="0.25">
      <c r="A114" s="806"/>
      <c r="B114" s="807"/>
      <c r="C114" s="1010"/>
      <c r="D114" s="1011"/>
      <c r="E114" s="1012"/>
      <c r="F114" s="808"/>
    </row>
    <row r="115" spans="1:6" ht="49.5" customHeight="1" x14ac:dyDescent="0.25">
      <c r="A115" s="798"/>
      <c r="B115" s="809"/>
      <c r="C115" s="1013"/>
      <c r="D115" s="1011"/>
      <c r="E115" s="1012"/>
      <c r="F115" s="800"/>
    </row>
    <row r="116" spans="1:6" ht="49.5" customHeight="1" x14ac:dyDescent="0.25">
      <c r="A116" s="806"/>
      <c r="B116" s="807"/>
      <c r="C116" s="1010"/>
      <c r="D116" s="1011"/>
      <c r="E116" s="1012"/>
      <c r="F116" s="808"/>
    </row>
    <row r="117" spans="1:6" ht="49.5" customHeight="1" x14ac:dyDescent="0.25">
      <c r="A117" s="798"/>
      <c r="B117" s="809"/>
      <c r="C117" s="1013"/>
      <c r="D117" s="1011"/>
      <c r="E117" s="1012"/>
      <c r="F117" s="800"/>
    </row>
    <row r="118" spans="1:6" ht="49.5" customHeight="1" x14ac:dyDescent="0.25">
      <c r="A118" s="806"/>
      <c r="B118" s="807"/>
      <c r="C118" s="1010"/>
      <c r="D118" s="1011"/>
      <c r="E118" s="1012"/>
      <c r="F118" s="808"/>
    </row>
    <row r="119" spans="1:6" ht="49.5" customHeight="1" x14ac:dyDescent="0.25">
      <c r="A119" s="798"/>
      <c r="B119" s="809"/>
      <c r="C119" s="1013"/>
      <c r="D119" s="1011"/>
      <c r="E119" s="1012"/>
      <c r="F119" s="800"/>
    </row>
    <row r="120" spans="1:6" ht="49.5" customHeight="1" x14ac:dyDescent="0.25">
      <c r="A120" s="806"/>
      <c r="B120" s="807"/>
      <c r="C120" s="1010"/>
      <c r="D120" s="1011"/>
      <c r="E120" s="1012"/>
      <c r="F120" s="808"/>
    </row>
    <row r="121" spans="1:6" ht="49.5" customHeight="1" x14ac:dyDescent="0.25">
      <c r="A121" s="798"/>
      <c r="B121" s="809"/>
      <c r="C121" s="1013"/>
      <c r="D121" s="1011"/>
      <c r="E121" s="1012"/>
      <c r="F121" s="800"/>
    </row>
    <row r="122" spans="1:6" ht="49.5" customHeight="1" x14ac:dyDescent="0.25">
      <c r="A122" s="806"/>
      <c r="B122" s="807"/>
      <c r="C122" s="1010"/>
      <c r="D122" s="1011"/>
      <c r="E122" s="1012"/>
      <c r="F122" s="808"/>
    </row>
    <row r="123" spans="1:6" ht="49.5" customHeight="1" x14ac:dyDescent="0.25">
      <c r="A123" s="798"/>
      <c r="B123" s="809"/>
      <c r="C123" s="1013"/>
      <c r="D123" s="1011"/>
      <c r="E123" s="1012"/>
      <c r="F123" s="800"/>
    </row>
    <row r="124" spans="1:6" ht="49.5" customHeight="1" x14ac:dyDescent="0.25">
      <c r="A124" s="806"/>
      <c r="B124" s="807"/>
      <c r="C124" s="1010"/>
      <c r="D124" s="1011"/>
      <c r="E124" s="1012"/>
      <c r="F124" s="808"/>
    </row>
    <row r="125" spans="1:6" ht="49.5" customHeight="1" x14ac:dyDescent="0.25">
      <c r="A125" s="798"/>
      <c r="B125" s="809"/>
      <c r="C125" s="1013"/>
      <c r="D125" s="1011"/>
      <c r="E125" s="1012"/>
      <c r="F125" s="800"/>
    </row>
    <row r="126" spans="1:6" ht="49.5" customHeight="1" x14ac:dyDescent="0.25">
      <c r="A126" s="806"/>
      <c r="B126" s="807"/>
      <c r="C126" s="1010"/>
      <c r="D126" s="1011"/>
      <c r="E126" s="1012"/>
      <c r="F126" s="808"/>
    </row>
    <row r="127" spans="1:6" ht="49.5" customHeight="1" x14ac:dyDescent="0.25">
      <c r="A127" s="798"/>
      <c r="B127" s="809"/>
      <c r="C127" s="1013"/>
      <c r="D127" s="1011"/>
      <c r="E127" s="1012"/>
      <c r="F127" s="800"/>
    </row>
    <row r="128" spans="1:6" ht="49.5" customHeight="1" x14ac:dyDescent="0.25">
      <c r="A128" s="806"/>
      <c r="B128" s="807"/>
      <c r="C128" s="1010"/>
      <c r="D128" s="1011"/>
      <c r="E128" s="1012"/>
      <c r="F128" s="808"/>
    </row>
    <row r="129" spans="1:6" ht="49.5" customHeight="1" x14ac:dyDescent="0.25">
      <c r="A129" s="798"/>
      <c r="B129" s="809"/>
      <c r="C129" s="1013"/>
      <c r="D129" s="1011"/>
      <c r="E129" s="1012"/>
      <c r="F129" s="800"/>
    </row>
    <row r="130" spans="1:6" ht="49.5" customHeight="1" x14ac:dyDescent="0.25">
      <c r="A130" s="806"/>
      <c r="B130" s="807"/>
      <c r="C130" s="1010"/>
      <c r="D130" s="1011"/>
      <c r="E130" s="1012"/>
      <c r="F130" s="808"/>
    </row>
    <row r="131" spans="1:6" ht="49.5" customHeight="1" x14ac:dyDescent="0.25">
      <c r="A131" s="798"/>
      <c r="B131" s="809"/>
      <c r="C131" s="1013"/>
      <c r="D131" s="1011"/>
      <c r="E131" s="1012"/>
      <c r="F131" s="800"/>
    </row>
    <row r="132" spans="1:6" ht="49.5" customHeight="1" x14ac:dyDescent="0.25">
      <c r="A132" s="806"/>
      <c r="B132" s="807"/>
      <c r="C132" s="1010"/>
      <c r="D132" s="1011"/>
      <c r="E132" s="1012"/>
      <c r="F132" s="808"/>
    </row>
    <row r="133" spans="1:6" ht="49.5" customHeight="1" x14ac:dyDescent="0.25">
      <c r="A133" s="798"/>
      <c r="B133" s="809"/>
      <c r="C133" s="1013"/>
      <c r="D133" s="1011"/>
      <c r="E133" s="1012"/>
      <c r="F133" s="800"/>
    </row>
    <row r="134" spans="1:6" ht="49.5" customHeight="1" x14ac:dyDescent="0.25">
      <c r="A134" s="806"/>
      <c r="B134" s="807"/>
      <c r="C134" s="1010"/>
      <c r="D134" s="1011"/>
      <c r="E134" s="1012"/>
      <c r="F134" s="808"/>
    </row>
    <row r="135" spans="1:6" ht="49.5" customHeight="1" x14ac:dyDescent="0.25">
      <c r="A135" s="798"/>
      <c r="B135" s="809"/>
      <c r="C135" s="1013"/>
      <c r="D135" s="1011"/>
      <c r="E135" s="1012"/>
      <c r="F135" s="800"/>
    </row>
    <row r="136" spans="1:6" ht="49.5" customHeight="1" x14ac:dyDescent="0.25">
      <c r="A136" s="806"/>
      <c r="B136" s="807"/>
      <c r="C136" s="1010"/>
      <c r="D136" s="1011"/>
      <c r="E136" s="1012"/>
      <c r="F136" s="808"/>
    </row>
    <row r="137" spans="1:6" ht="49.5" customHeight="1" x14ac:dyDescent="0.25">
      <c r="A137" s="798"/>
      <c r="B137" s="809"/>
      <c r="C137" s="1013"/>
      <c r="D137" s="1011"/>
      <c r="E137" s="1012"/>
      <c r="F137" s="800"/>
    </row>
    <row r="138" spans="1:6" ht="49.5" customHeight="1" x14ac:dyDescent="0.25">
      <c r="A138" s="806"/>
      <c r="B138" s="807"/>
      <c r="C138" s="1010"/>
      <c r="D138" s="1011"/>
      <c r="E138" s="1012"/>
      <c r="F138" s="808"/>
    </row>
    <row r="139" spans="1:6" ht="49.5" customHeight="1" x14ac:dyDescent="0.25">
      <c r="A139" s="798"/>
      <c r="B139" s="809"/>
      <c r="C139" s="1013"/>
      <c r="D139" s="1011"/>
      <c r="E139" s="1012"/>
      <c r="F139" s="800"/>
    </row>
    <row r="140" spans="1:6" ht="49.5" customHeight="1" x14ac:dyDescent="0.25">
      <c r="A140" s="806"/>
      <c r="B140" s="807"/>
      <c r="C140" s="1010"/>
      <c r="D140" s="1011"/>
      <c r="E140" s="1012"/>
      <c r="F140" s="808"/>
    </row>
    <row r="141" spans="1:6" ht="49.5" customHeight="1" x14ac:dyDescent="0.25">
      <c r="A141" s="798"/>
      <c r="B141" s="809"/>
      <c r="C141" s="1013"/>
      <c r="D141" s="1011"/>
      <c r="E141" s="1012"/>
      <c r="F141" s="800"/>
    </row>
    <row r="142" spans="1:6" ht="49.5" customHeight="1" x14ac:dyDescent="0.25">
      <c r="A142" s="806"/>
      <c r="B142" s="807"/>
      <c r="C142" s="1010"/>
      <c r="D142" s="1011"/>
      <c r="E142" s="1012"/>
      <c r="F142" s="808"/>
    </row>
    <row r="143" spans="1:6" ht="49.5" customHeight="1" x14ac:dyDescent="0.25">
      <c r="A143" s="798"/>
      <c r="B143" s="809"/>
      <c r="C143" s="1013"/>
      <c r="D143" s="1011"/>
      <c r="E143" s="1012"/>
      <c r="F143" s="800"/>
    </row>
    <row r="144" spans="1:6" ht="49.5" customHeight="1" x14ac:dyDescent="0.25">
      <c r="A144" s="806"/>
      <c r="B144" s="807"/>
      <c r="C144" s="1010"/>
      <c r="D144" s="1011"/>
      <c r="E144" s="1012"/>
      <c r="F144" s="808"/>
    </row>
    <row r="145" spans="1:6" ht="49.5" customHeight="1" x14ac:dyDescent="0.25">
      <c r="A145" s="798"/>
      <c r="B145" s="809"/>
      <c r="C145" s="1013"/>
      <c r="D145" s="1011"/>
      <c r="E145" s="1012"/>
      <c r="F145" s="800"/>
    </row>
    <row r="146" spans="1:6" ht="49.5" customHeight="1" x14ac:dyDescent="0.25">
      <c r="A146" s="806"/>
      <c r="B146" s="807"/>
      <c r="C146" s="1010"/>
      <c r="D146" s="1011"/>
      <c r="E146" s="1012"/>
      <c r="F146" s="808"/>
    </row>
    <row r="147" spans="1:6" ht="49.5" customHeight="1" x14ac:dyDescent="0.25">
      <c r="A147" s="798"/>
      <c r="B147" s="809"/>
      <c r="C147" s="1013"/>
      <c r="D147" s="1011"/>
      <c r="E147" s="1012"/>
      <c r="F147" s="800"/>
    </row>
    <row r="148" spans="1:6" ht="49.5" customHeight="1" x14ac:dyDescent="0.25">
      <c r="A148" s="806"/>
      <c r="B148" s="807"/>
      <c r="C148" s="1010"/>
      <c r="D148" s="1011"/>
      <c r="E148" s="1012"/>
      <c r="F148" s="808"/>
    </row>
    <row r="149" spans="1:6" ht="49.5" customHeight="1" x14ac:dyDescent="0.25">
      <c r="A149" s="798"/>
      <c r="B149" s="809"/>
      <c r="C149" s="1013"/>
      <c r="D149" s="1011"/>
      <c r="E149" s="1012"/>
      <c r="F149" s="800"/>
    </row>
    <row r="150" spans="1:6" ht="49.5" customHeight="1" x14ac:dyDescent="0.25">
      <c r="A150" s="806"/>
      <c r="B150" s="807"/>
      <c r="C150" s="1010"/>
      <c r="D150" s="1011"/>
      <c r="E150" s="1012"/>
      <c r="F150" s="808"/>
    </row>
    <row r="151" spans="1:6" ht="49.5" customHeight="1" x14ac:dyDescent="0.25">
      <c r="A151" s="798"/>
      <c r="B151" s="809"/>
      <c r="C151" s="1013"/>
      <c r="D151" s="1011"/>
      <c r="E151" s="1012"/>
      <c r="F151" s="800"/>
    </row>
    <row r="152" spans="1:6" ht="49.5" customHeight="1" x14ac:dyDescent="0.25">
      <c r="A152" s="806"/>
      <c r="B152" s="807"/>
      <c r="C152" s="1010"/>
      <c r="D152" s="1011"/>
      <c r="E152" s="1012"/>
      <c r="F152" s="808"/>
    </row>
    <row r="153" spans="1:6" ht="49.5" customHeight="1" x14ac:dyDescent="0.25">
      <c r="A153" s="798"/>
      <c r="B153" s="809"/>
      <c r="C153" s="1013"/>
      <c r="D153" s="1011"/>
      <c r="E153" s="1012"/>
      <c r="F153" s="800"/>
    </row>
    <row r="154" spans="1:6" ht="49.5" customHeight="1" x14ac:dyDescent="0.25">
      <c r="A154" s="806"/>
      <c r="B154" s="807"/>
      <c r="C154" s="1010"/>
      <c r="D154" s="1011"/>
      <c r="E154" s="1012"/>
      <c r="F154" s="808"/>
    </row>
    <row r="155" spans="1:6" ht="49.5" customHeight="1" x14ac:dyDescent="0.25">
      <c r="A155" s="798"/>
      <c r="B155" s="809"/>
      <c r="C155" s="1013"/>
      <c r="D155" s="1011"/>
      <c r="E155" s="1012"/>
      <c r="F155" s="800"/>
    </row>
    <row r="156" spans="1:6" ht="49.5" customHeight="1" x14ac:dyDescent="0.25">
      <c r="A156" s="806"/>
      <c r="B156" s="807"/>
      <c r="C156" s="1010"/>
      <c r="D156" s="1011"/>
      <c r="E156" s="1012"/>
      <c r="F156" s="808"/>
    </row>
    <row r="157" spans="1:6" ht="49.5" customHeight="1" x14ac:dyDescent="0.25">
      <c r="A157" s="798"/>
      <c r="B157" s="809"/>
      <c r="C157" s="1013"/>
      <c r="D157" s="1011"/>
      <c r="E157" s="1012"/>
      <c r="F157" s="800"/>
    </row>
    <row r="158" spans="1:6" ht="49.5" customHeight="1" x14ac:dyDescent="0.25">
      <c r="A158" s="806"/>
      <c r="B158" s="807"/>
      <c r="C158" s="1010"/>
      <c r="D158" s="1011"/>
      <c r="E158" s="1012"/>
      <c r="F158" s="808"/>
    </row>
    <row r="159" spans="1:6" ht="49.5" customHeight="1" x14ac:dyDescent="0.25">
      <c r="A159" s="798"/>
      <c r="B159" s="809"/>
      <c r="C159" s="1013"/>
      <c r="D159" s="1011"/>
      <c r="E159" s="1012"/>
      <c r="F159" s="800"/>
    </row>
    <row r="160" spans="1:6" ht="49.5" customHeight="1" x14ac:dyDescent="0.25">
      <c r="A160" s="806"/>
      <c r="B160" s="807"/>
      <c r="C160" s="1013"/>
      <c r="D160" s="1011"/>
      <c r="E160" s="1012"/>
      <c r="F160" s="800"/>
    </row>
    <row r="161" spans="1:6" ht="49.5" customHeight="1" x14ac:dyDescent="0.25">
      <c r="A161" s="798"/>
      <c r="B161" s="809"/>
      <c r="C161" s="1013"/>
      <c r="D161" s="1011"/>
      <c r="E161" s="1012"/>
      <c r="F161" s="800"/>
    </row>
    <row r="162" spans="1:6" ht="49.5" customHeight="1" x14ac:dyDescent="0.25">
      <c r="A162" s="806"/>
      <c r="B162" s="807"/>
      <c r="C162" s="1010"/>
      <c r="D162" s="1011"/>
      <c r="E162" s="1012"/>
      <c r="F162" s="808"/>
    </row>
    <row r="163" spans="1:6" ht="49.5" customHeight="1" x14ac:dyDescent="0.25">
      <c r="A163" s="798"/>
      <c r="B163" s="809"/>
      <c r="C163" s="1013"/>
      <c r="D163" s="1011"/>
      <c r="E163" s="1012"/>
      <c r="F163" s="800"/>
    </row>
    <row r="164" spans="1:6" ht="49.5" customHeight="1" x14ac:dyDescent="0.25">
      <c r="A164" s="806"/>
      <c r="B164" s="807"/>
      <c r="C164" s="1010"/>
      <c r="D164" s="1011"/>
      <c r="E164" s="1012"/>
      <c r="F164" s="808"/>
    </row>
    <row r="165" spans="1:6" ht="49.5" customHeight="1" x14ac:dyDescent="0.25">
      <c r="A165" s="798"/>
      <c r="B165" s="809"/>
      <c r="C165" s="1013"/>
      <c r="D165" s="1011"/>
      <c r="E165" s="1012"/>
      <c r="F165" s="800"/>
    </row>
    <row r="166" spans="1:6" ht="49.5" customHeight="1" x14ac:dyDescent="0.25">
      <c r="A166" s="806"/>
      <c r="B166" s="807"/>
      <c r="C166" s="1010"/>
      <c r="D166" s="1011"/>
      <c r="E166" s="1012"/>
      <c r="F166" s="808"/>
    </row>
    <row r="167" spans="1:6" ht="49.5" customHeight="1" x14ac:dyDescent="0.25">
      <c r="A167" s="798"/>
      <c r="B167" s="809"/>
      <c r="C167" s="1013"/>
      <c r="D167" s="1011"/>
      <c r="E167" s="1012"/>
      <c r="F167" s="800"/>
    </row>
    <row r="168" spans="1:6" ht="49.5" customHeight="1" x14ac:dyDescent="0.25">
      <c r="A168" s="806"/>
      <c r="B168" s="807"/>
      <c r="C168" s="1010"/>
      <c r="D168" s="1011"/>
      <c r="E168" s="1012"/>
      <c r="F168" s="808"/>
    </row>
    <row r="169" spans="1:6" ht="49.5" customHeight="1" x14ac:dyDescent="0.25">
      <c r="A169" s="798"/>
      <c r="B169" s="809"/>
      <c r="C169" s="1013"/>
      <c r="D169" s="1011"/>
      <c r="E169" s="1012"/>
      <c r="F169" s="800"/>
    </row>
    <row r="170" spans="1:6" ht="49.5" customHeight="1" x14ac:dyDescent="0.25">
      <c r="A170" s="806"/>
      <c r="B170" s="807"/>
      <c r="C170" s="1010"/>
      <c r="D170" s="1011"/>
      <c r="E170" s="1012"/>
      <c r="F170" s="808"/>
    </row>
    <row r="171" spans="1:6" ht="49.5" customHeight="1" x14ac:dyDescent="0.25">
      <c r="A171" s="798"/>
      <c r="B171" s="809"/>
      <c r="C171" s="1013"/>
      <c r="D171" s="1011"/>
      <c r="E171" s="1012"/>
      <c r="F171" s="800"/>
    </row>
    <row r="172" spans="1:6" ht="49.5" customHeight="1" x14ac:dyDescent="0.25">
      <c r="A172" s="806"/>
      <c r="B172" s="807"/>
      <c r="C172" s="1013"/>
      <c r="D172" s="1011"/>
      <c r="E172" s="1012"/>
      <c r="F172" s="808"/>
    </row>
    <row r="173" spans="1:6" ht="49.5" customHeight="1" x14ac:dyDescent="0.25">
      <c r="A173" s="798"/>
      <c r="B173" s="809"/>
      <c r="C173" s="1013"/>
      <c r="D173" s="1011"/>
      <c r="E173" s="1012"/>
      <c r="F173" s="800"/>
    </row>
    <row r="174" spans="1:6" ht="49.5" customHeight="1" x14ac:dyDescent="0.25">
      <c r="A174" s="806"/>
      <c r="B174" s="807"/>
      <c r="C174" s="1010"/>
      <c r="D174" s="1011"/>
      <c r="E174" s="1012"/>
      <c r="F174" s="800"/>
    </row>
    <row r="175" spans="1:6" ht="49.5" customHeight="1" x14ac:dyDescent="0.25">
      <c r="A175" s="798"/>
      <c r="B175" s="809"/>
      <c r="C175" s="1010"/>
      <c r="D175" s="1011"/>
      <c r="E175" s="1012"/>
      <c r="F175" s="800"/>
    </row>
    <row r="176" spans="1:6" ht="49.5" customHeight="1" x14ac:dyDescent="0.25">
      <c r="A176" s="806"/>
      <c r="B176" s="809"/>
      <c r="C176" s="1010"/>
      <c r="D176" s="1011"/>
      <c r="E176" s="1012"/>
      <c r="F176" s="800"/>
    </row>
    <row r="177" spans="1:6" ht="49.5" customHeight="1" x14ac:dyDescent="0.25">
      <c r="A177" s="798"/>
      <c r="B177" s="809"/>
      <c r="C177" s="1013"/>
      <c r="D177" s="1011"/>
      <c r="E177" s="1012"/>
      <c r="F177" s="800"/>
    </row>
    <row r="178" spans="1:6" ht="49.5" customHeight="1" x14ac:dyDescent="0.25">
      <c r="A178" s="806"/>
      <c r="B178" s="807"/>
      <c r="C178" s="1010"/>
      <c r="D178" s="1011"/>
      <c r="E178" s="1012"/>
      <c r="F178" s="808"/>
    </row>
    <row r="179" spans="1:6" ht="49.5" customHeight="1" x14ac:dyDescent="0.25">
      <c r="A179" s="798"/>
      <c r="B179" s="809"/>
      <c r="C179" s="1013"/>
      <c r="D179" s="1011"/>
      <c r="E179" s="1012"/>
      <c r="F179" s="800"/>
    </row>
    <row r="180" spans="1:6" ht="49.5" customHeight="1" x14ac:dyDescent="0.25">
      <c r="A180" s="806"/>
      <c r="B180" s="807"/>
      <c r="C180" s="1010"/>
      <c r="D180" s="1011"/>
      <c r="E180" s="1012"/>
      <c r="F180" s="808"/>
    </row>
    <row r="181" spans="1:6" ht="49.5" customHeight="1" x14ac:dyDescent="0.25">
      <c r="A181" s="798"/>
      <c r="B181" s="809"/>
      <c r="C181" s="1013"/>
      <c r="D181" s="1011"/>
      <c r="E181" s="1012"/>
      <c r="F181" s="808"/>
    </row>
    <row r="182" spans="1:6" ht="49.5" customHeight="1" x14ac:dyDescent="0.25">
      <c r="A182" s="806"/>
      <c r="B182" s="807"/>
      <c r="C182" s="1010"/>
      <c r="D182" s="1011"/>
      <c r="E182" s="1012"/>
      <c r="F182" s="808"/>
    </row>
    <row r="183" spans="1:6" ht="49.5" customHeight="1" x14ac:dyDescent="0.25">
      <c r="A183" s="798"/>
      <c r="B183" s="809"/>
      <c r="C183" s="1013"/>
      <c r="D183" s="1011"/>
      <c r="E183" s="1012"/>
      <c r="F183" s="800"/>
    </row>
    <row r="184" spans="1:6" ht="49.5" customHeight="1" x14ac:dyDescent="0.25">
      <c r="A184" s="806"/>
      <c r="B184" s="807"/>
      <c r="C184" s="1010"/>
      <c r="D184" s="1011"/>
      <c r="E184" s="1012"/>
      <c r="F184" s="808"/>
    </row>
    <row r="185" spans="1:6" ht="49.5" customHeight="1" x14ac:dyDescent="0.25">
      <c r="A185" s="798"/>
      <c r="B185" s="809"/>
      <c r="C185" s="1013"/>
      <c r="D185" s="1011"/>
      <c r="E185" s="1012"/>
      <c r="F185" s="800"/>
    </row>
    <row r="186" spans="1:6" ht="49.5" customHeight="1" x14ac:dyDescent="0.25">
      <c r="A186" s="806"/>
      <c r="B186" s="807"/>
      <c r="C186" s="1010"/>
      <c r="D186" s="1011"/>
      <c r="E186" s="1012"/>
      <c r="F186" s="808"/>
    </row>
    <row r="187" spans="1:6" ht="49.5" customHeight="1" x14ac:dyDescent="0.25">
      <c r="A187" s="798"/>
      <c r="B187" s="809"/>
      <c r="C187" s="1013"/>
      <c r="D187" s="1011"/>
      <c r="E187" s="1012"/>
      <c r="F187" s="800"/>
    </row>
    <row r="188" spans="1:6" ht="49.5" customHeight="1" x14ac:dyDescent="0.25">
      <c r="A188" s="806"/>
      <c r="B188" s="807"/>
      <c r="C188" s="1010"/>
      <c r="D188" s="1011"/>
      <c r="E188" s="1012"/>
      <c r="F188" s="808"/>
    </row>
    <row r="189" spans="1:6" ht="49.5" customHeight="1" x14ac:dyDescent="0.25">
      <c r="A189" s="798"/>
      <c r="B189" s="809"/>
      <c r="C189" s="1013"/>
      <c r="D189" s="1011"/>
      <c r="E189" s="1012"/>
      <c r="F189" s="800"/>
    </row>
    <row r="190" spans="1:6" ht="49.5" customHeight="1" x14ac:dyDescent="0.25">
      <c r="A190" s="806"/>
      <c r="B190" s="807"/>
      <c r="C190" s="1010"/>
      <c r="D190" s="1011"/>
      <c r="E190" s="1012"/>
      <c r="F190" s="808"/>
    </row>
    <row r="191" spans="1:6" ht="49.5" customHeight="1" x14ac:dyDescent="0.25">
      <c r="A191" s="798"/>
      <c r="B191" s="809"/>
      <c r="C191" s="1013"/>
      <c r="D191" s="1011"/>
      <c r="E191" s="1012"/>
      <c r="F191" s="800"/>
    </row>
    <row r="192" spans="1:6" ht="49.5" customHeight="1" x14ac:dyDescent="0.25">
      <c r="A192" s="806"/>
      <c r="B192" s="807"/>
      <c r="C192" s="1013"/>
      <c r="D192" s="1011"/>
      <c r="E192" s="1012"/>
      <c r="F192" s="800"/>
    </row>
    <row r="193" spans="1:6" ht="49.5" customHeight="1" x14ac:dyDescent="0.25">
      <c r="A193" s="798"/>
      <c r="B193" s="809"/>
      <c r="C193" s="1013"/>
      <c r="D193" s="1011"/>
      <c r="E193" s="1012"/>
      <c r="F193" s="800"/>
    </row>
    <row r="194" spans="1:6" ht="49.5" customHeight="1" x14ac:dyDescent="0.25">
      <c r="A194" s="806"/>
      <c r="B194" s="807"/>
      <c r="C194" s="1010"/>
      <c r="D194" s="1011"/>
      <c r="E194" s="1012"/>
      <c r="F194" s="808"/>
    </row>
    <row r="195" spans="1:6" ht="49.5" customHeight="1" x14ac:dyDescent="0.25">
      <c r="A195" s="798"/>
      <c r="B195" s="809"/>
      <c r="C195" s="1013"/>
      <c r="D195" s="1011"/>
      <c r="E195" s="1012"/>
      <c r="F195" s="800"/>
    </row>
    <row r="196" spans="1:6" ht="49.5" customHeight="1" x14ac:dyDescent="0.25">
      <c r="A196" s="806"/>
      <c r="B196" s="807"/>
      <c r="C196" s="1010"/>
      <c r="D196" s="1011"/>
      <c r="E196" s="1012"/>
      <c r="F196" s="808"/>
    </row>
    <row r="197" spans="1:6" ht="49.5" customHeight="1" x14ac:dyDescent="0.25">
      <c r="A197" s="798"/>
      <c r="B197" s="809"/>
      <c r="C197" s="1013"/>
      <c r="D197" s="1011"/>
      <c r="E197" s="1012"/>
      <c r="F197" s="800"/>
    </row>
    <row r="198" spans="1:6" ht="49.5" customHeight="1" x14ac:dyDescent="0.25">
      <c r="A198" s="806"/>
      <c r="B198" s="807"/>
      <c r="C198" s="1010"/>
      <c r="D198" s="1011"/>
      <c r="E198" s="1012"/>
      <c r="F198" s="808"/>
    </row>
    <row r="199" spans="1:6" ht="49.5" customHeight="1" x14ac:dyDescent="0.25">
      <c r="A199" s="798"/>
      <c r="B199" s="809"/>
      <c r="C199" s="1013"/>
      <c r="D199" s="1011"/>
      <c r="E199" s="1012"/>
      <c r="F199" s="800"/>
    </row>
    <row r="200" spans="1:6" ht="49.5" customHeight="1" x14ac:dyDescent="0.25">
      <c r="A200" s="798"/>
      <c r="B200" s="809"/>
      <c r="C200" s="1013"/>
      <c r="D200" s="1014"/>
      <c r="E200" s="1015"/>
      <c r="F200" s="800"/>
    </row>
    <row r="201" spans="1:6" ht="49.5" customHeight="1" x14ac:dyDescent="0.25">
      <c r="A201" s="806"/>
      <c r="B201" s="807"/>
      <c r="C201" s="1010"/>
      <c r="D201" s="1016"/>
      <c r="E201" s="1017"/>
      <c r="F201" s="808"/>
    </row>
    <row r="202" spans="1:6" ht="49.5" customHeight="1" x14ac:dyDescent="0.25">
      <c r="A202" s="798"/>
      <c r="B202" s="809"/>
      <c r="C202" s="1013"/>
      <c r="D202" s="1014"/>
      <c r="E202" s="1015"/>
      <c r="F202" s="800"/>
    </row>
    <row r="203" spans="1:6" ht="49.5" customHeight="1" x14ac:dyDescent="0.25">
      <c r="A203" s="806"/>
      <c r="B203" s="807"/>
      <c r="C203" s="1010"/>
      <c r="D203" s="1016"/>
      <c r="E203" s="1017"/>
      <c r="F203" s="808"/>
    </row>
    <row r="204" spans="1:6" ht="49.5" customHeight="1" x14ac:dyDescent="0.25">
      <c r="A204" s="798"/>
      <c r="B204" s="809"/>
      <c r="C204" s="1013"/>
      <c r="D204" s="1011"/>
      <c r="E204" s="1012"/>
      <c r="F204" s="800"/>
    </row>
    <row r="205" spans="1:6" ht="49.5" customHeight="1" x14ac:dyDescent="0.25">
      <c r="A205" s="806"/>
      <c r="B205" s="807"/>
      <c r="C205" s="1010"/>
      <c r="D205" s="1011"/>
      <c r="E205" s="1012"/>
      <c r="F205" s="808"/>
    </row>
    <row r="206" spans="1:6" ht="49.5" customHeight="1" x14ac:dyDescent="0.25">
      <c r="A206" s="798"/>
      <c r="B206" s="809"/>
      <c r="C206" s="1013"/>
      <c r="D206" s="1011"/>
      <c r="E206" s="1012"/>
      <c r="F206" s="800"/>
    </row>
    <row r="207" spans="1:6" ht="49.5" customHeight="1" x14ac:dyDescent="0.25">
      <c r="A207" s="806"/>
      <c r="B207" s="807"/>
      <c r="C207" s="1010"/>
      <c r="D207" s="1011"/>
      <c r="E207" s="1012"/>
      <c r="F207" s="808"/>
    </row>
    <row r="208" spans="1:6" ht="49.5" customHeight="1" x14ac:dyDescent="0.25">
      <c r="A208" s="798"/>
      <c r="B208" s="809"/>
      <c r="C208" s="1013"/>
      <c r="D208" s="1011"/>
      <c r="E208" s="1012"/>
      <c r="F208" s="800"/>
    </row>
    <row r="209" spans="1:7" ht="49.5" customHeight="1" x14ac:dyDescent="0.25">
      <c r="A209" s="806"/>
      <c r="B209" s="807"/>
      <c r="C209" s="1010"/>
      <c r="D209" s="1011"/>
      <c r="E209" s="1012"/>
      <c r="F209" s="808"/>
    </row>
    <row r="210" spans="1:7" ht="49.5" customHeight="1" x14ac:dyDescent="0.25">
      <c r="A210" s="798"/>
      <c r="B210" s="809"/>
      <c r="C210" s="1013"/>
      <c r="D210" s="1011"/>
      <c r="E210" s="1012"/>
      <c r="F210" s="810"/>
    </row>
    <row r="211" spans="1:7" ht="49.5" customHeight="1" x14ac:dyDescent="0.25">
      <c r="A211" s="806"/>
      <c r="B211" s="807"/>
      <c r="C211" s="1010"/>
      <c r="D211" s="1011"/>
      <c r="E211" s="1011"/>
      <c r="F211" s="803"/>
      <c r="G211" s="811"/>
    </row>
    <row r="212" spans="1:7" ht="49.5" customHeight="1" x14ac:dyDescent="0.25">
      <c r="A212" s="798"/>
      <c r="B212" s="809"/>
      <c r="C212" s="1013"/>
      <c r="D212" s="1011"/>
      <c r="E212" s="1011"/>
      <c r="F212" s="803"/>
      <c r="G212" s="811"/>
    </row>
    <row r="213" spans="1:7" ht="49.5" customHeight="1" x14ac:dyDescent="0.25">
      <c r="A213" s="806"/>
      <c r="B213" s="807"/>
      <c r="C213" s="1010"/>
      <c r="D213" s="1011"/>
      <c r="E213" s="1012"/>
      <c r="F213" s="815"/>
    </row>
    <row r="214" spans="1:7" ht="49.5" customHeight="1" x14ac:dyDescent="0.25">
      <c r="A214" s="798"/>
      <c r="B214" s="809"/>
      <c r="C214" s="1013"/>
      <c r="D214" s="1011"/>
      <c r="E214" s="1012"/>
      <c r="F214" s="800"/>
    </row>
    <row r="215" spans="1:7" ht="49.5" customHeight="1" x14ac:dyDescent="0.25">
      <c r="A215" s="806"/>
      <c r="B215" s="807"/>
      <c r="C215" s="1010"/>
      <c r="D215" s="1011"/>
      <c r="E215" s="1012"/>
      <c r="F215" s="808"/>
    </row>
    <row r="216" spans="1:7" ht="49.5" customHeight="1" x14ac:dyDescent="0.25">
      <c r="A216" s="798"/>
      <c r="B216" s="809"/>
      <c r="C216" s="1013"/>
      <c r="D216" s="1011"/>
      <c r="E216" s="1012"/>
      <c r="F216" s="800"/>
    </row>
    <row r="217" spans="1:7" ht="49.5" customHeight="1" x14ac:dyDescent="0.25">
      <c r="A217" s="806"/>
      <c r="B217" s="807"/>
      <c r="C217" s="1010"/>
      <c r="D217" s="1011"/>
      <c r="E217" s="1012"/>
      <c r="F217" s="808"/>
    </row>
    <row r="218" spans="1:7" ht="49.5" customHeight="1" x14ac:dyDescent="0.25">
      <c r="A218" s="798"/>
      <c r="B218" s="809"/>
      <c r="C218" s="1013"/>
      <c r="D218" s="1011"/>
      <c r="E218" s="1012"/>
      <c r="F218" s="800"/>
    </row>
    <row r="219" spans="1:7" ht="49.5" customHeight="1" x14ac:dyDescent="0.25">
      <c r="A219" s="806"/>
      <c r="B219" s="807"/>
      <c r="C219" s="1010"/>
      <c r="D219" s="1011"/>
      <c r="E219" s="1012"/>
      <c r="F219" s="808"/>
    </row>
    <row r="220" spans="1:7" ht="49.5" customHeight="1" x14ac:dyDescent="0.25">
      <c r="A220" s="798"/>
      <c r="B220" s="809"/>
      <c r="C220" s="1013"/>
      <c r="D220" s="1011"/>
      <c r="E220" s="1012"/>
      <c r="F220" s="800"/>
    </row>
    <row r="221" spans="1:7" ht="49.5" customHeight="1" x14ac:dyDescent="0.25">
      <c r="A221" s="806"/>
      <c r="B221" s="807"/>
      <c r="C221" s="1010"/>
      <c r="D221" s="1011"/>
      <c r="E221" s="1012"/>
      <c r="F221" s="808"/>
    </row>
    <row r="222" spans="1:7" ht="49.5" customHeight="1" x14ac:dyDescent="0.25">
      <c r="A222" s="798"/>
      <c r="B222" s="809"/>
      <c r="C222" s="1013"/>
      <c r="D222" s="1011"/>
      <c r="E222" s="1012"/>
      <c r="F222" s="800"/>
    </row>
    <row r="223" spans="1:7" ht="49.5" customHeight="1" x14ac:dyDescent="0.25">
      <c r="A223" s="806"/>
      <c r="B223" s="807"/>
      <c r="C223" s="1010"/>
      <c r="D223" s="1011"/>
      <c r="E223" s="1012"/>
      <c r="F223" s="808"/>
    </row>
    <row r="224" spans="1:7" ht="49.5" customHeight="1" x14ac:dyDescent="0.25">
      <c r="A224" s="798"/>
      <c r="B224" s="809"/>
      <c r="C224" s="1013"/>
      <c r="D224" s="1011"/>
      <c r="E224" s="1012"/>
      <c r="F224" s="800"/>
    </row>
    <row r="225" spans="1:6" ht="49.5" customHeight="1" x14ac:dyDescent="0.25">
      <c r="A225" s="806"/>
      <c r="B225" s="807"/>
      <c r="C225" s="1010"/>
      <c r="D225" s="1011"/>
      <c r="E225" s="1012"/>
      <c r="F225" s="808"/>
    </row>
    <row r="226" spans="1:6" ht="15.75" customHeight="1" x14ac:dyDescent="0.25">
      <c r="A226" s="816"/>
      <c r="B226" s="816"/>
      <c r="C226" s="816"/>
      <c r="D226" s="816"/>
      <c r="E226" s="816"/>
      <c r="F226" s="816"/>
    </row>
    <row r="227" spans="1:6" ht="15.75" customHeight="1" x14ac:dyDescent="0.25">
      <c r="A227" s="816"/>
      <c r="B227" s="816"/>
      <c r="C227" s="816"/>
      <c r="D227" s="816"/>
      <c r="E227" s="816"/>
      <c r="F227" s="816"/>
    </row>
    <row r="228" spans="1:6" ht="15.75" customHeight="1" x14ac:dyDescent="0.25">
      <c r="A228" s="816"/>
      <c r="B228" s="816"/>
      <c r="C228" s="816"/>
      <c r="D228" s="816"/>
      <c r="E228" s="816"/>
      <c r="F228" s="816"/>
    </row>
    <row r="229" spans="1:6" ht="15.75" customHeight="1" x14ac:dyDescent="0.25">
      <c r="A229" s="816"/>
      <c r="B229" s="816"/>
      <c r="C229" s="816"/>
      <c r="D229" s="816"/>
      <c r="E229" s="816"/>
      <c r="F229" s="816"/>
    </row>
    <row r="230" spans="1:6" ht="15.75" customHeight="1" x14ac:dyDescent="0.25">
      <c r="A230" s="816"/>
      <c r="B230" s="816"/>
      <c r="C230" s="816"/>
      <c r="D230" s="816"/>
      <c r="E230" s="816"/>
      <c r="F230" s="816"/>
    </row>
    <row r="231" spans="1:6" ht="15.75" customHeight="1" x14ac:dyDescent="0.25">
      <c r="A231" s="816"/>
      <c r="B231" s="816"/>
      <c r="C231" s="816"/>
      <c r="D231" s="816"/>
      <c r="E231" s="816"/>
      <c r="F231" s="816"/>
    </row>
    <row r="232" spans="1:6" ht="15.75" customHeight="1" x14ac:dyDescent="0.25">
      <c r="A232" s="816"/>
      <c r="B232" s="816"/>
      <c r="C232" s="816"/>
      <c r="D232" s="816"/>
      <c r="E232" s="816"/>
      <c r="F232" s="816"/>
    </row>
    <row r="233" spans="1:6" ht="15.75" customHeight="1" x14ac:dyDescent="0.25">
      <c r="A233" s="816"/>
      <c r="B233" s="816"/>
      <c r="C233" s="816"/>
      <c r="D233" s="816"/>
      <c r="E233" s="816"/>
      <c r="F233" s="816"/>
    </row>
    <row r="234" spans="1:6" ht="15.75" customHeight="1" x14ac:dyDescent="0.25">
      <c r="A234" s="816"/>
      <c r="B234" s="816"/>
      <c r="C234" s="816"/>
      <c r="D234" s="816"/>
      <c r="E234" s="816"/>
      <c r="F234" s="816"/>
    </row>
    <row r="235" spans="1:6" ht="15.75" customHeight="1" x14ac:dyDescent="0.25">
      <c r="A235" s="816"/>
      <c r="B235" s="816"/>
      <c r="C235" s="816"/>
      <c r="D235" s="816"/>
      <c r="E235" s="816"/>
      <c r="F235" s="816"/>
    </row>
    <row r="236" spans="1:6" ht="15.75" customHeight="1" x14ac:dyDescent="0.25">
      <c r="A236" s="816"/>
      <c r="B236" s="816"/>
      <c r="C236" s="816"/>
      <c r="D236" s="816"/>
      <c r="E236" s="816"/>
      <c r="F236" s="816"/>
    </row>
    <row r="237" spans="1:6" ht="15.75" customHeight="1" x14ac:dyDescent="0.25">
      <c r="A237" s="816"/>
      <c r="B237" s="816"/>
      <c r="C237" s="816"/>
      <c r="D237" s="816"/>
      <c r="E237" s="816"/>
      <c r="F237" s="816"/>
    </row>
    <row r="238" spans="1:6" ht="15.75" customHeight="1" x14ac:dyDescent="0.25">
      <c r="A238" s="816"/>
      <c r="B238" s="816"/>
      <c r="C238" s="816"/>
      <c r="D238" s="816"/>
      <c r="E238" s="816"/>
      <c r="F238" s="816"/>
    </row>
    <row r="239" spans="1:6" ht="15.75" customHeight="1" x14ac:dyDescent="0.25">
      <c r="A239" s="816"/>
      <c r="B239" s="816"/>
      <c r="C239" s="816"/>
      <c r="D239" s="816"/>
      <c r="E239" s="816"/>
      <c r="F239" s="816"/>
    </row>
    <row r="240" spans="1:6" ht="15.75" customHeight="1" x14ac:dyDescent="0.25">
      <c r="A240" s="816"/>
      <c r="B240" s="816"/>
      <c r="C240" s="816"/>
      <c r="D240" s="816"/>
      <c r="E240" s="816"/>
      <c r="F240" s="816"/>
    </row>
    <row r="241" spans="1:6" ht="15.75" customHeight="1" x14ac:dyDescent="0.25">
      <c r="A241" s="816"/>
      <c r="B241" s="816"/>
      <c r="C241" s="816"/>
      <c r="D241" s="816"/>
      <c r="E241" s="816"/>
      <c r="F241" s="816"/>
    </row>
    <row r="242" spans="1:6" ht="15.75" customHeight="1" x14ac:dyDescent="0.25">
      <c r="A242" s="816"/>
      <c r="B242" s="816"/>
      <c r="C242" s="816"/>
      <c r="D242" s="816"/>
      <c r="E242" s="816"/>
      <c r="F242" s="816"/>
    </row>
    <row r="243" spans="1:6" ht="15.75" customHeight="1" x14ac:dyDescent="0.25">
      <c r="A243" s="816"/>
      <c r="B243" s="816"/>
      <c r="C243" s="816"/>
      <c r="D243" s="816"/>
      <c r="E243" s="816"/>
      <c r="F243" s="816"/>
    </row>
    <row r="244" spans="1:6" ht="15.75" customHeight="1" x14ac:dyDescent="0.25">
      <c r="A244" s="816"/>
      <c r="B244" s="816"/>
      <c r="C244" s="816"/>
      <c r="D244" s="816"/>
      <c r="E244" s="816"/>
      <c r="F244" s="816"/>
    </row>
    <row r="245" spans="1:6" ht="15.75" customHeight="1" x14ac:dyDescent="0.25">
      <c r="A245" s="816"/>
      <c r="B245" s="816"/>
      <c r="C245" s="816"/>
      <c r="D245" s="816"/>
      <c r="E245" s="816"/>
      <c r="F245" s="816"/>
    </row>
    <row r="246" spans="1:6" ht="15.75" customHeight="1" x14ac:dyDescent="0.25">
      <c r="A246" s="816"/>
      <c r="B246" s="816"/>
      <c r="C246" s="816"/>
      <c r="D246" s="816"/>
      <c r="E246" s="816"/>
      <c r="F246" s="816"/>
    </row>
    <row r="247" spans="1:6" ht="15.75" customHeight="1" x14ac:dyDescent="0.25">
      <c r="A247" s="816"/>
      <c r="B247" s="816"/>
      <c r="C247" s="816"/>
      <c r="D247" s="816"/>
      <c r="E247" s="816"/>
      <c r="F247" s="816"/>
    </row>
    <row r="248" spans="1:6" ht="15.75" customHeight="1" x14ac:dyDescent="0.25">
      <c r="A248" s="816"/>
      <c r="B248" s="816"/>
      <c r="C248" s="816"/>
      <c r="D248" s="816"/>
      <c r="E248" s="816"/>
      <c r="F248" s="816"/>
    </row>
    <row r="249" spans="1:6" ht="15.75" customHeight="1" x14ac:dyDescent="0.25">
      <c r="A249" s="816"/>
      <c r="B249" s="816"/>
      <c r="C249" s="816"/>
      <c r="D249" s="816"/>
      <c r="E249" s="816"/>
      <c r="F249" s="816"/>
    </row>
    <row r="250" spans="1:6" ht="15.75" customHeight="1" x14ac:dyDescent="0.25">
      <c r="A250" s="816"/>
      <c r="B250" s="816"/>
      <c r="C250" s="816"/>
      <c r="D250" s="816"/>
      <c r="E250" s="816"/>
      <c r="F250" s="816"/>
    </row>
    <row r="251" spans="1:6" ht="15.75" customHeight="1" x14ac:dyDescent="0.25">
      <c r="A251" s="816"/>
      <c r="B251" s="816"/>
      <c r="C251" s="816"/>
      <c r="D251" s="816"/>
      <c r="E251" s="816"/>
      <c r="F251" s="816"/>
    </row>
    <row r="252" spans="1:6" ht="15.75" customHeight="1" x14ac:dyDescent="0.25">
      <c r="A252" s="816"/>
      <c r="B252" s="816"/>
      <c r="C252" s="816"/>
      <c r="D252" s="816"/>
      <c r="E252" s="816"/>
      <c r="F252" s="816"/>
    </row>
    <row r="253" spans="1:6" ht="15.75" customHeight="1" x14ac:dyDescent="0.25">
      <c r="A253" s="816"/>
      <c r="B253" s="816"/>
      <c r="C253" s="816"/>
      <c r="D253" s="816"/>
      <c r="E253" s="816"/>
      <c r="F253" s="816"/>
    </row>
    <row r="254" spans="1:6" ht="15.75" customHeight="1" x14ac:dyDescent="0.25">
      <c r="A254" s="816"/>
      <c r="B254" s="816"/>
      <c r="C254" s="816"/>
      <c r="D254" s="816"/>
      <c r="E254" s="816"/>
      <c r="F254" s="816"/>
    </row>
    <row r="255" spans="1:6" ht="15.75" customHeight="1" x14ac:dyDescent="0.25">
      <c r="A255" s="816"/>
      <c r="B255" s="816"/>
      <c r="C255" s="816"/>
      <c r="D255" s="816"/>
      <c r="E255" s="816"/>
      <c r="F255" s="816"/>
    </row>
    <row r="256" spans="1:6" ht="15.75" customHeight="1" x14ac:dyDescent="0.25">
      <c r="A256" s="816"/>
      <c r="B256" s="816"/>
      <c r="C256" s="816"/>
      <c r="D256" s="816"/>
      <c r="E256" s="816"/>
      <c r="F256" s="816"/>
    </row>
    <row r="257" spans="1:6" ht="15.75" customHeight="1" x14ac:dyDescent="0.25">
      <c r="A257" s="816"/>
      <c r="B257" s="816"/>
      <c r="C257" s="816"/>
      <c r="D257" s="816"/>
      <c r="E257" s="816"/>
      <c r="F257" s="816"/>
    </row>
    <row r="258" spans="1:6" ht="15.75" customHeight="1" x14ac:dyDescent="0.25">
      <c r="A258" s="816"/>
      <c r="B258" s="816"/>
      <c r="C258" s="816"/>
      <c r="D258" s="816"/>
      <c r="E258" s="816"/>
      <c r="F258" s="816"/>
    </row>
    <row r="259" spans="1:6" ht="15.75" customHeight="1" x14ac:dyDescent="0.25">
      <c r="A259" s="816"/>
      <c r="B259" s="816"/>
      <c r="C259" s="816"/>
      <c r="D259" s="816"/>
      <c r="E259" s="816"/>
      <c r="F259" s="816"/>
    </row>
    <row r="260" spans="1:6" ht="15.75" customHeight="1" x14ac:dyDescent="0.25">
      <c r="A260" s="816"/>
      <c r="B260" s="816"/>
      <c r="C260" s="816"/>
      <c r="D260" s="816"/>
      <c r="E260" s="816"/>
      <c r="F260" s="816"/>
    </row>
    <row r="261" spans="1:6" ht="15.75" customHeight="1" x14ac:dyDescent="0.25">
      <c r="A261" s="816"/>
      <c r="B261" s="816"/>
      <c r="C261" s="816"/>
      <c r="D261" s="816"/>
      <c r="E261" s="816"/>
      <c r="F261" s="816"/>
    </row>
    <row r="262" spans="1:6" ht="15.75" customHeight="1" x14ac:dyDescent="0.25">
      <c r="A262" s="816"/>
      <c r="B262" s="816"/>
      <c r="C262" s="816"/>
      <c r="D262" s="816"/>
      <c r="E262" s="816"/>
      <c r="F262" s="816"/>
    </row>
    <row r="263" spans="1:6" ht="15.75" customHeight="1" x14ac:dyDescent="0.25">
      <c r="A263" s="816"/>
      <c r="B263" s="816"/>
      <c r="C263" s="816"/>
      <c r="D263" s="816"/>
      <c r="E263" s="816"/>
      <c r="F263" s="816"/>
    </row>
    <row r="264" spans="1:6" ht="15.75" customHeight="1" x14ac:dyDescent="0.25">
      <c r="A264" s="816"/>
      <c r="B264" s="816"/>
      <c r="C264" s="816"/>
      <c r="D264" s="816"/>
      <c r="E264" s="816"/>
      <c r="F264" s="816"/>
    </row>
    <row r="265" spans="1:6" ht="15.75" customHeight="1" x14ac:dyDescent="0.25">
      <c r="A265" s="816"/>
      <c r="B265" s="816"/>
      <c r="C265" s="816"/>
      <c r="D265" s="816"/>
      <c r="E265" s="816"/>
      <c r="F265" s="816"/>
    </row>
    <row r="266" spans="1:6" ht="15.75" customHeight="1" x14ac:dyDescent="0.25">
      <c r="A266" s="816"/>
      <c r="B266" s="816"/>
      <c r="C266" s="816"/>
      <c r="D266" s="816"/>
      <c r="E266" s="816"/>
      <c r="F266" s="816"/>
    </row>
    <row r="267" spans="1:6" ht="15.75" customHeight="1" x14ac:dyDescent="0.25">
      <c r="A267" s="816"/>
      <c r="B267" s="816"/>
      <c r="C267" s="816"/>
      <c r="D267" s="816"/>
      <c r="E267" s="816"/>
      <c r="F267" s="816"/>
    </row>
    <row r="268" spans="1:6" ht="15.75" customHeight="1" x14ac:dyDescent="0.25">
      <c r="A268" s="816"/>
      <c r="B268" s="816"/>
      <c r="C268" s="816"/>
      <c r="D268" s="816"/>
      <c r="E268" s="816"/>
      <c r="F268" s="816"/>
    </row>
    <row r="269" spans="1:6" ht="15.75" customHeight="1" x14ac:dyDescent="0.25">
      <c r="A269" s="816"/>
      <c r="B269" s="816"/>
      <c r="C269" s="816"/>
      <c r="D269" s="816"/>
      <c r="E269" s="816"/>
      <c r="F269" s="816"/>
    </row>
    <row r="270" spans="1:6" ht="15.75" customHeight="1" x14ac:dyDescent="0.25">
      <c r="A270" s="816"/>
      <c r="B270" s="816"/>
      <c r="C270" s="816"/>
      <c r="D270" s="816"/>
      <c r="E270" s="816"/>
      <c r="F270" s="816"/>
    </row>
    <row r="271" spans="1:6" ht="15.75" customHeight="1" x14ac:dyDescent="0.25">
      <c r="A271" s="816"/>
      <c r="B271" s="816"/>
      <c r="C271" s="816"/>
      <c r="D271" s="816"/>
      <c r="E271" s="816"/>
      <c r="F271" s="816"/>
    </row>
    <row r="272" spans="1:6" ht="15.75" customHeight="1" x14ac:dyDescent="0.25">
      <c r="A272" s="816"/>
      <c r="B272" s="816"/>
      <c r="C272" s="816"/>
      <c r="D272" s="816"/>
      <c r="E272" s="816"/>
      <c r="F272" s="816"/>
    </row>
    <row r="273" spans="1:6" ht="15.75" customHeight="1" x14ac:dyDescent="0.25">
      <c r="A273" s="816"/>
      <c r="B273" s="816"/>
      <c r="C273" s="816"/>
      <c r="D273" s="816"/>
      <c r="E273" s="816"/>
      <c r="F273" s="816"/>
    </row>
    <row r="274" spans="1:6" ht="15.75" customHeight="1" x14ac:dyDescent="0.25">
      <c r="A274" s="816"/>
      <c r="B274" s="816"/>
      <c r="C274" s="816"/>
      <c r="D274" s="816"/>
      <c r="E274" s="816"/>
      <c r="F274" s="816"/>
    </row>
    <row r="275" spans="1:6" ht="15.75" customHeight="1" x14ac:dyDescent="0.25">
      <c r="A275" s="816"/>
      <c r="B275" s="816"/>
      <c r="C275" s="816"/>
      <c r="D275" s="816"/>
      <c r="E275" s="816"/>
      <c r="F275" s="816"/>
    </row>
    <row r="276" spans="1:6" ht="15.75" customHeight="1" x14ac:dyDescent="0.25">
      <c r="A276" s="816"/>
      <c r="B276" s="816"/>
      <c r="C276" s="816"/>
      <c r="D276" s="816"/>
      <c r="E276" s="816"/>
      <c r="F276" s="816"/>
    </row>
    <row r="277" spans="1:6" ht="15.75" customHeight="1" x14ac:dyDescent="0.25">
      <c r="A277" s="816"/>
      <c r="B277" s="816"/>
      <c r="C277" s="816"/>
      <c r="D277" s="816"/>
      <c r="E277" s="816"/>
      <c r="F277" s="816"/>
    </row>
    <row r="278" spans="1:6" ht="15.75" customHeight="1" x14ac:dyDescent="0.25">
      <c r="A278" s="816"/>
      <c r="B278" s="816"/>
      <c r="C278" s="816"/>
      <c r="D278" s="816"/>
      <c r="E278" s="816"/>
      <c r="F278" s="816"/>
    </row>
    <row r="279" spans="1:6" ht="15.75" customHeight="1" x14ac:dyDescent="0.25">
      <c r="A279" s="816"/>
      <c r="B279" s="816"/>
      <c r="C279" s="816"/>
      <c r="D279" s="816"/>
      <c r="E279" s="816"/>
      <c r="F279" s="816"/>
    </row>
    <row r="280" spans="1:6" ht="15.75" customHeight="1" x14ac:dyDescent="0.25">
      <c r="A280" s="816"/>
      <c r="B280" s="816"/>
      <c r="C280" s="816"/>
      <c r="D280" s="816"/>
      <c r="E280" s="816"/>
      <c r="F280" s="816"/>
    </row>
    <row r="281" spans="1:6" ht="15.75" customHeight="1" x14ac:dyDescent="0.25">
      <c r="A281" s="816"/>
      <c r="B281" s="816"/>
      <c r="C281" s="816"/>
      <c r="D281" s="816"/>
      <c r="E281" s="816"/>
      <c r="F281" s="816"/>
    </row>
    <row r="282" spans="1:6" ht="15.75" customHeight="1" x14ac:dyDescent="0.25">
      <c r="A282" s="816"/>
      <c r="B282" s="816"/>
      <c r="C282" s="816"/>
      <c r="D282" s="816"/>
      <c r="E282" s="816"/>
      <c r="F282" s="816"/>
    </row>
    <row r="283" spans="1:6" ht="15.75" customHeight="1" x14ac:dyDescent="0.25">
      <c r="A283" s="816"/>
      <c r="B283" s="816"/>
      <c r="C283" s="816"/>
      <c r="D283" s="816"/>
      <c r="E283" s="816"/>
      <c r="F283" s="816"/>
    </row>
    <row r="284" spans="1:6" ht="15.75" customHeight="1" x14ac:dyDescent="0.25">
      <c r="A284" s="816"/>
      <c r="B284" s="816"/>
      <c r="C284" s="816"/>
      <c r="D284" s="816"/>
      <c r="E284" s="816"/>
      <c r="F284" s="816"/>
    </row>
    <row r="285" spans="1:6" ht="15.75" customHeight="1" x14ac:dyDescent="0.25">
      <c r="A285" s="816"/>
      <c r="B285" s="816"/>
      <c r="C285" s="816"/>
      <c r="D285" s="816"/>
      <c r="E285" s="816"/>
      <c r="F285" s="816"/>
    </row>
    <row r="286" spans="1:6" ht="15.75" customHeight="1" x14ac:dyDescent="0.25">
      <c r="A286" s="816"/>
      <c r="B286" s="816"/>
      <c r="C286" s="816"/>
      <c r="D286" s="816"/>
      <c r="E286" s="816"/>
      <c r="F286" s="816"/>
    </row>
    <row r="287" spans="1:6" ht="15.75" customHeight="1" x14ac:dyDescent="0.25">
      <c r="A287" s="816"/>
      <c r="B287" s="816"/>
      <c r="C287" s="816"/>
      <c r="D287" s="816"/>
      <c r="E287" s="816"/>
      <c r="F287" s="816"/>
    </row>
    <row r="288" spans="1:6" ht="15.75" customHeight="1" x14ac:dyDescent="0.25">
      <c r="A288" s="816"/>
      <c r="B288" s="816"/>
      <c r="C288" s="816"/>
      <c r="D288" s="816"/>
      <c r="E288" s="816"/>
      <c r="F288" s="816"/>
    </row>
    <row r="289" spans="1:6" ht="15.75" customHeight="1" x14ac:dyDescent="0.25">
      <c r="A289" s="816"/>
      <c r="B289" s="816"/>
      <c r="C289" s="816"/>
      <c r="D289" s="816"/>
      <c r="E289" s="816"/>
      <c r="F289" s="816"/>
    </row>
    <row r="290" spans="1:6" ht="15.75" customHeight="1" x14ac:dyDescent="0.25"/>
    <row r="291" spans="1:6" ht="15.75" customHeight="1" x14ac:dyDescent="0.25"/>
    <row r="292" spans="1:6" ht="15.75" customHeight="1" x14ac:dyDescent="0.25"/>
    <row r="293" spans="1:6" ht="15.75" customHeight="1" x14ac:dyDescent="0.25"/>
    <row r="294" spans="1:6" ht="15.75" customHeight="1" x14ac:dyDescent="0.25"/>
    <row r="295" spans="1:6" ht="15.75" customHeight="1" x14ac:dyDescent="0.25"/>
    <row r="296" spans="1:6" ht="15.75" customHeight="1" x14ac:dyDescent="0.25"/>
    <row r="297" spans="1:6" ht="15.75" customHeight="1" x14ac:dyDescent="0.25"/>
    <row r="298" spans="1:6" ht="15.75" customHeight="1" x14ac:dyDescent="0.25"/>
    <row r="299" spans="1:6" ht="15.75" customHeight="1" x14ac:dyDescent="0.25"/>
    <row r="300" spans="1:6" ht="15.75" customHeight="1" x14ac:dyDescent="0.25"/>
    <row r="301" spans="1:6" ht="15.75" customHeight="1" x14ac:dyDescent="0.25"/>
    <row r="302" spans="1:6" ht="15.75" customHeight="1" x14ac:dyDescent="0.25"/>
    <row r="303" spans="1:6" ht="15.75" customHeight="1" x14ac:dyDescent="0.25"/>
    <row r="304" spans="1:6"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sheetData>
  <sheetProtection algorithmName="SHA-512" hashValue="7jW9mM4rx8gyKJtevLrKyerK28SvzDidVbAjivw42yMs6fEBZSb41FkKtPk6HF6RtZBZyVdHGR6bGadUKWd1SQ==" saltValue="jUmRbFu6TqPJaNFr4LDp6w==" spinCount="100000" sheet="1" objects="1" scenarios="1"/>
  <mergeCells count="225">
    <mergeCell ref="C7:E7"/>
    <mergeCell ref="C8:E8"/>
    <mergeCell ref="C9:E9"/>
    <mergeCell ref="C10:E10"/>
    <mergeCell ref="C11:E11"/>
    <mergeCell ref="C12:E12"/>
    <mergeCell ref="A1:F1"/>
    <mergeCell ref="C2:E2"/>
    <mergeCell ref="C3:E3"/>
    <mergeCell ref="C4:E4"/>
    <mergeCell ref="C5:E5"/>
    <mergeCell ref="C6:E6"/>
    <mergeCell ref="C19:E19"/>
    <mergeCell ref="C20:E20"/>
    <mergeCell ref="C21:E21"/>
    <mergeCell ref="C22:E22"/>
    <mergeCell ref="C23:E23"/>
    <mergeCell ref="C24:E24"/>
    <mergeCell ref="C13:E13"/>
    <mergeCell ref="C14:E14"/>
    <mergeCell ref="C15:E15"/>
    <mergeCell ref="C16:E16"/>
    <mergeCell ref="C17:E17"/>
    <mergeCell ref="C18:E18"/>
    <mergeCell ref="C31:E31"/>
    <mergeCell ref="C32:E32"/>
    <mergeCell ref="C33:E33"/>
    <mergeCell ref="C34:E34"/>
    <mergeCell ref="C35:E35"/>
    <mergeCell ref="C36:E36"/>
    <mergeCell ref="C25:E25"/>
    <mergeCell ref="C26:E26"/>
    <mergeCell ref="C27:E27"/>
    <mergeCell ref="C28:E28"/>
    <mergeCell ref="C29:E29"/>
    <mergeCell ref="C30:E30"/>
    <mergeCell ref="C43:E43"/>
    <mergeCell ref="C44:E44"/>
    <mergeCell ref="C45:E45"/>
    <mergeCell ref="C46:E46"/>
    <mergeCell ref="C47:E47"/>
    <mergeCell ref="C48:E48"/>
    <mergeCell ref="C37:E37"/>
    <mergeCell ref="C38:E38"/>
    <mergeCell ref="C39:E39"/>
    <mergeCell ref="C40:E40"/>
    <mergeCell ref="C41:E41"/>
    <mergeCell ref="C42:E42"/>
    <mergeCell ref="C55:E55"/>
    <mergeCell ref="C56:E56"/>
    <mergeCell ref="C57:E57"/>
    <mergeCell ref="C58:E58"/>
    <mergeCell ref="C59:E59"/>
    <mergeCell ref="C60:E60"/>
    <mergeCell ref="C49:E49"/>
    <mergeCell ref="C50:E50"/>
    <mergeCell ref="C51:E51"/>
    <mergeCell ref="C52:E52"/>
    <mergeCell ref="C53:E53"/>
    <mergeCell ref="C54:E54"/>
    <mergeCell ref="C67:E67"/>
    <mergeCell ref="C68:E68"/>
    <mergeCell ref="C69:E69"/>
    <mergeCell ref="C70:E70"/>
    <mergeCell ref="C71:E71"/>
    <mergeCell ref="C72:E72"/>
    <mergeCell ref="C61:E61"/>
    <mergeCell ref="C62:E62"/>
    <mergeCell ref="C63:E63"/>
    <mergeCell ref="C64:E64"/>
    <mergeCell ref="C65:E65"/>
    <mergeCell ref="C66:E66"/>
    <mergeCell ref="C79:E79"/>
    <mergeCell ref="C80:E80"/>
    <mergeCell ref="C81:E81"/>
    <mergeCell ref="C82:E82"/>
    <mergeCell ref="C83:E83"/>
    <mergeCell ref="C84:E84"/>
    <mergeCell ref="C73:E73"/>
    <mergeCell ref="C74:E74"/>
    <mergeCell ref="C75:E75"/>
    <mergeCell ref="C76:E76"/>
    <mergeCell ref="C77:E77"/>
    <mergeCell ref="C78:E78"/>
    <mergeCell ref="C91:E91"/>
    <mergeCell ref="C92:E92"/>
    <mergeCell ref="C93:E93"/>
    <mergeCell ref="C94:E94"/>
    <mergeCell ref="C95:E95"/>
    <mergeCell ref="C96:E96"/>
    <mergeCell ref="C85:E85"/>
    <mergeCell ref="C86:E86"/>
    <mergeCell ref="C87:E87"/>
    <mergeCell ref="C88:E88"/>
    <mergeCell ref="C89:E89"/>
    <mergeCell ref="C90:E90"/>
    <mergeCell ref="C103:E103"/>
    <mergeCell ref="C104:E104"/>
    <mergeCell ref="C105:E105"/>
    <mergeCell ref="C106:E106"/>
    <mergeCell ref="C107:E107"/>
    <mergeCell ref="C108:E108"/>
    <mergeCell ref="C97:E97"/>
    <mergeCell ref="C98:E98"/>
    <mergeCell ref="C99:E99"/>
    <mergeCell ref="C100:E100"/>
    <mergeCell ref="C101:E101"/>
    <mergeCell ref="C102:E102"/>
    <mergeCell ref="C115:E115"/>
    <mergeCell ref="C116:E116"/>
    <mergeCell ref="C117:E117"/>
    <mergeCell ref="C118:E118"/>
    <mergeCell ref="C119:E119"/>
    <mergeCell ref="C120:E120"/>
    <mergeCell ref="C109:E109"/>
    <mergeCell ref="C110:E110"/>
    <mergeCell ref="C111:E111"/>
    <mergeCell ref="C112:E112"/>
    <mergeCell ref="C113:E113"/>
    <mergeCell ref="C114:E114"/>
    <mergeCell ref="C127:E127"/>
    <mergeCell ref="C128:E128"/>
    <mergeCell ref="C129:E129"/>
    <mergeCell ref="C130:E130"/>
    <mergeCell ref="C131:E131"/>
    <mergeCell ref="C132:E132"/>
    <mergeCell ref="C121:E121"/>
    <mergeCell ref="C122:E122"/>
    <mergeCell ref="C123:E123"/>
    <mergeCell ref="C124:E124"/>
    <mergeCell ref="C125:E125"/>
    <mergeCell ref="C126:E126"/>
    <mergeCell ref="C139:E139"/>
    <mergeCell ref="C140:E140"/>
    <mergeCell ref="C141:E141"/>
    <mergeCell ref="C142:E142"/>
    <mergeCell ref="C143:E143"/>
    <mergeCell ref="C144:E144"/>
    <mergeCell ref="C133:E133"/>
    <mergeCell ref="C134:E134"/>
    <mergeCell ref="C135:E135"/>
    <mergeCell ref="C136:E136"/>
    <mergeCell ref="C137:E137"/>
    <mergeCell ref="C138:E138"/>
    <mergeCell ref="C151:E151"/>
    <mergeCell ref="C152:E152"/>
    <mergeCell ref="C153:E153"/>
    <mergeCell ref="C154:E154"/>
    <mergeCell ref="C155:E155"/>
    <mergeCell ref="C156:E156"/>
    <mergeCell ref="C145:E145"/>
    <mergeCell ref="C146:E146"/>
    <mergeCell ref="C147:E147"/>
    <mergeCell ref="C148:E148"/>
    <mergeCell ref="C149:E149"/>
    <mergeCell ref="C150:E150"/>
    <mergeCell ref="C163:E163"/>
    <mergeCell ref="C164:E164"/>
    <mergeCell ref="C165:E165"/>
    <mergeCell ref="C166:E166"/>
    <mergeCell ref="C167:E167"/>
    <mergeCell ref="C168:E168"/>
    <mergeCell ref="C157:E157"/>
    <mergeCell ref="C158:E158"/>
    <mergeCell ref="C159:E159"/>
    <mergeCell ref="C160:E160"/>
    <mergeCell ref="C161:E161"/>
    <mergeCell ref="C162:E162"/>
    <mergeCell ref="C175:E175"/>
    <mergeCell ref="C176:E176"/>
    <mergeCell ref="C177:E177"/>
    <mergeCell ref="C178:E178"/>
    <mergeCell ref="C179:E179"/>
    <mergeCell ref="C180:E180"/>
    <mergeCell ref="C169:E169"/>
    <mergeCell ref="C170:E170"/>
    <mergeCell ref="C171:E171"/>
    <mergeCell ref="C172:E172"/>
    <mergeCell ref="C173:E173"/>
    <mergeCell ref="C174:E174"/>
    <mergeCell ref="C187:E187"/>
    <mergeCell ref="C188:E188"/>
    <mergeCell ref="C189:E189"/>
    <mergeCell ref="C190:E190"/>
    <mergeCell ref="C191:E191"/>
    <mergeCell ref="C192:E192"/>
    <mergeCell ref="C181:E181"/>
    <mergeCell ref="C182:E182"/>
    <mergeCell ref="C183:E183"/>
    <mergeCell ref="C184:E184"/>
    <mergeCell ref="C185:E185"/>
    <mergeCell ref="C186:E186"/>
    <mergeCell ref="C199:E199"/>
    <mergeCell ref="C200:E200"/>
    <mergeCell ref="C201:E201"/>
    <mergeCell ref="C202:E202"/>
    <mergeCell ref="C203:E203"/>
    <mergeCell ref="C204:E204"/>
    <mergeCell ref="C193:E193"/>
    <mergeCell ref="C194:E194"/>
    <mergeCell ref="C195:E195"/>
    <mergeCell ref="C196:E196"/>
    <mergeCell ref="C197:E197"/>
    <mergeCell ref="C198:E198"/>
    <mergeCell ref="C211:E211"/>
    <mergeCell ref="C212:E212"/>
    <mergeCell ref="C213:E213"/>
    <mergeCell ref="C214:E214"/>
    <mergeCell ref="C215:E215"/>
    <mergeCell ref="C216:E216"/>
    <mergeCell ref="C205:E205"/>
    <mergeCell ref="C206:E206"/>
    <mergeCell ref="C207:E207"/>
    <mergeCell ref="C208:E208"/>
    <mergeCell ref="C209:E209"/>
    <mergeCell ref="C210:E210"/>
    <mergeCell ref="C223:E223"/>
    <mergeCell ref="C224:E224"/>
    <mergeCell ref="C225:E225"/>
    <mergeCell ref="C217:E217"/>
    <mergeCell ref="C218:E218"/>
    <mergeCell ref="C219:E219"/>
    <mergeCell ref="C220:E220"/>
    <mergeCell ref="C221:E221"/>
    <mergeCell ref="C222:E222"/>
  </mergeCells>
  <conditionalFormatting sqref="B3:B225">
    <cfRule type="expression" dxfId="36" priority="1">
      <formula>$B3="Other (list in Note Section)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93F25-B6AC-4BD9-8503-F88FFE692210}">
  <dimension ref="A1:J63"/>
  <sheetViews>
    <sheetView zoomScaleNormal="100" workbookViewId="0">
      <selection activeCell="J60" sqref="J60"/>
    </sheetView>
  </sheetViews>
  <sheetFormatPr defaultRowHeight="15" x14ac:dyDescent="0.25"/>
  <cols>
    <col min="1" max="3" width="15.7109375" customWidth="1"/>
    <col min="4" max="4" width="17.140625" customWidth="1"/>
    <col min="5" max="10" width="15.7109375" customWidth="1"/>
  </cols>
  <sheetData>
    <row r="1" spans="1:10" ht="16.5" thickBot="1" x14ac:dyDescent="0.3">
      <c r="A1" s="793" t="s">
        <v>890</v>
      </c>
      <c r="B1" s="787" t="s">
        <v>891</v>
      </c>
      <c r="C1" s="1075" t="s">
        <v>892</v>
      </c>
      <c r="D1" s="1076"/>
      <c r="E1" s="1077"/>
      <c r="F1" s="794" t="s">
        <v>245</v>
      </c>
      <c r="G1" s="1076"/>
      <c r="H1" s="1076"/>
      <c r="I1" s="1076"/>
      <c r="J1" s="1078"/>
    </row>
    <row r="2" spans="1:10" ht="15.75" x14ac:dyDescent="0.25">
      <c r="A2" s="1088" t="str">
        <f>'BASE GRANTEE INFO &amp; UPDATES'!A1</f>
        <v>WV Bureau for Behavioral Health and Health Facilities -Community Anti-Drug Coalitions of America and Teen Court</v>
      </c>
      <c r="B2" s="1089"/>
      <c r="C2" s="1089"/>
      <c r="D2" s="1089"/>
      <c r="E2" s="1089"/>
      <c r="F2" s="1089"/>
      <c r="G2" s="1089"/>
      <c r="H2" s="1089"/>
      <c r="I2" s="1089"/>
      <c r="J2" s="1090"/>
    </row>
    <row r="3" spans="1:10" ht="15.75" x14ac:dyDescent="0.25">
      <c r="A3" s="1034" t="str">
        <f>'BASE GRANTEE INFO &amp; UPDATES'!A2</f>
        <v>FISCAL YEAR: 2025 (09/30/2024 - 09/29/2025)</v>
      </c>
      <c r="B3" s="1035"/>
      <c r="C3" s="1035"/>
      <c r="D3" s="1035"/>
      <c r="E3" s="1035"/>
      <c r="F3" s="1035"/>
      <c r="G3" s="1035"/>
      <c r="H3" s="1035"/>
      <c r="I3" s="1035"/>
      <c r="J3" s="1036"/>
    </row>
    <row r="4" spans="1:10" ht="15.75" x14ac:dyDescent="0.25">
      <c r="A4" s="1034" t="str">
        <f>'BASE GRANTEE INFO &amp; UPDATES'!A3</f>
        <v xml:space="preserve">Program reports need to be submitted electronically, via e-mail to BBHReporting@wv.gov  within 25 calendar days of the end of each month </v>
      </c>
      <c r="B4" s="1035"/>
      <c r="C4" s="1035"/>
      <c r="D4" s="1035"/>
      <c r="E4" s="1035"/>
      <c r="F4" s="1035"/>
      <c r="G4" s="1035"/>
      <c r="H4" s="1035"/>
      <c r="I4" s="1035"/>
      <c r="J4" s="1036"/>
    </row>
    <row r="5" spans="1:10" ht="18.75" x14ac:dyDescent="0.25">
      <c r="A5" s="1085" t="s">
        <v>435</v>
      </c>
      <c r="B5" s="1086"/>
      <c r="C5" s="1086"/>
      <c r="D5" s="1086"/>
      <c r="E5" s="1086"/>
      <c r="F5" s="1086"/>
      <c r="G5" s="1086"/>
      <c r="H5" s="1086"/>
      <c r="I5" s="1086"/>
      <c r="J5" s="1087"/>
    </row>
    <row r="6" spans="1:10" ht="32.25" customHeight="1" x14ac:dyDescent="0.25">
      <c r="A6" s="1032" t="s">
        <v>930</v>
      </c>
      <c r="B6" s="1033"/>
      <c r="C6" s="1033"/>
      <c r="D6" s="1082" t="str">
        <f>'BASE GRANTEE INFO &amp; UPDATES'!E5</f>
        <v xml:space="preserve">Community Anti-Drug Coalitions of America (CADCA) and Teen Court </v>
      </c>
      <c r="E6" s="1083"/>
      <c r="F6" s="1045" t="s">
        <v>1</v>
      </c>
      <c r="G6" s="1046"/>
      <c r="H6" s="1047">
        <f>'BASE GRANTEE INFO &amp; UPDATES'!M5</f>
        <v>0</v>
      </c>
      <c r="I6" s="1048"/>
      <c r="J6" s="1049"/>
    </row>
    <row r="7" spans="1:10" ht="29.25" customHeight="1" x14ac:dyDescent="0.25">
      <c r="A7" s="1032" t="s">
        <v>931</v>
      </c>
      <c r="B7" s="1033"/>
      <c r="C7" s="1033"/>
      <c r="D7" s="1082" t="str">
        <f>'BASE GRANTEE INFO &amp; UPDATES'!E6</f>
        <v>CADCA In Action and Teen Court</v>
      </c>
      <c r="E7" s="1083"/>
      <c r="F7" s="1045" t="s">
        <v>3</v>
      </c>
      <c r="G7" s="1046"/>
      <c r="H7" s="1047">
        <f>'BASE GRANTEE INFO &amp; UPDATES'!M6</f>
        <v>0</v>
      </c>
      <c r="I7" s="1048"/>
      <c r="J7" s="1049"/>
    </row>
    <row r="8" spans="1:10" ht="15" customHeight="1" x14ac:dyDescent="0.25">
      <c r="A8" s="1039" t="s">
        <v>4</v>
      </c>
      <c r="B8" s="1040"/>
      <c r="C8" s="1040"/>
      <c r="D8" s="1059">
        <f>'BASE GRANTEE INFO &amp; UPDATES'!E7</f>
        <v>0</v>
      </c>
      <c r="E8" s="1060"/>
      <c r="F8" s="1045" t="s">
        <v>267</v>
      </c>
      <c r="G8" s="1046"/>
      <c r="H8" s="1047">
        <f>'BASE GRANTEE INFO &amp; UPDATES'!M7</f>
        <v>0</v>
      </c>
      <c r="I8" s="1048"/>
      <c r="J8" s="1049"/>
    </row>
    <row r="9" spans="1:10" ht="102" customHeight="1" x14ac:dyDescent="0.25">
      <c r="A9" s="1041"/>
      <c r="B9" s="1042"/>
      <c r="C9" s="1042"/>
      <c r="D9" s="1061"/>
      <c r="E9" s="1062"/>
      <c r="F9" s="1045" t="s">
        <v>268</v>
      </c>
      <c r="G9" s="1046"/>
      <c r="H9" s="1050">
        <f>'BASE GRANTEE INFO &amp; UPDATES'!M8</f>
        <v>0</v>
      </c>
      <c r="I9" s="1051"/>
      <c r="J9" s="1052"/>
    </row>
    <row r="10" spans="1:10" ht="16.5" thickBot="1" x14ac:dyDescent="0.3">
      <c r="A10" s="1039" t="s">
        <v>893</v>
      </c>
      <c r="B10" s="1056"/>
      <c r="C10" s="1056"/>
      <c r="D10" s="820" t="str">
        <f>'BASE GRANTEE INFO &amp; UPDATES'!E9</f>
        <v>September 1 - 30</v>
      </c>
      <c r="E10" s="821">
        <f>'BASE GRANTEE INFO &amp; UPDATES'!G9</f>
        <v>2024</v>
      </c>
      <c r="F10" s="1057" t="s">
        <v>894</v>
      </c>
      <c r="G10" s="1058"/>
      <c r="H10" s="1053">
        <f>'BASE GRANTEE INFO &amp; UPDATES'!M9</f>
        <v>0</v>
      </c>
      <c r="I10" s="1054"/>
      <c r="J10" s="1055"/>
    </row>
    <row r="11" spans="1:10" ht="19.5" thickBot="1" x14ac:dyDescent="0.3">
      <c r="A11" s="1094" t="s">
        <v>895</v>
      </c>
      <c r="B11" s="1095"/>
      <c r="C11" s="1095"/>
      <c r="D11" s="1095"/>
      <c r="E11" s="1095"/>
      <c r="F11" s="1095"/>
      <c r="G11" s="1095"/>
      <c r="H11" s="1095"/>
      <c r="I11" s="1095"/>
      <c r="J11" s="1096"/>
    </row>
    <row r="12" spans="1:10" ht="19.5" thickBot="1" x14ac:dyDescent="0.3">
      <c r="A12" s="1043" t="s">
        <v>896</v>
      </c>
      <c r="B12" s="1044"/>
      <c r="C12" s="1044"/>
      <c r="D12" s="1044"/>
      <c r="E12" s="1044"/>
      <c r="F12" s="1044"/>
      <c r="G12" s="1044"/>
      <c r="H12" s="1037" t="s">
        <v>897</v>
      </c>
      <c r="I12" s="1037"/>
      <c r="J12" s="1038"/>
    </row>
    <row r="13" spans="1:10" ht="19.5" thickBot="1" x14ac:dyDescent="0.3">
      <c r="A13" s="1091" t="s">
        <v>898</v>
      </c>
      <c r="B13" s="1092"/>
      <c r="C13" s="1092"/>
      <c r="D13" s="1092"/>
      <c r="E13" s="1092"/>
      <c r="F13" s="1092"/>
      <c r="G13" s="1092"/>
      <c r="H13" s="1092"/>
      <c r="I13" s="1092"/>
      <c r="J13" s="1093"/>
    </row>
    <row r="14" spans="1:10" ht="32.1" customHeight="1" thickBot="1" x14ac:dyDescent="0.3">
      <c r="A14" s="1073" t="s">
        <v>899</v>
      </c>
      <c r="B14" s="1074"/>
      <c r="C14" s="1073" t="s">
        <v>892</v>
      </c>
      <c r="D14" s="1074"/>
      <c r="E14" s="1084"/>
      <c r="F14" s="792" t="s">
        <v>245</v>
      </c>
    </row>
    <row r="15" spans="1:10" ht="15.75" thickBot="1" x14ac:dyDescent="0.3">
      <c r="A15" s="789" t="s">
        <v>890</v>
      </c>
      <c r="B15" s="790" t="s">
        <v>891</v>
      </c>
      <c r="C15" s="819"/>
      <c r="D15" s="819"/>
      <c r="E15" s="819"/>
      <c r="F15" s="819"/>
    </row>
    <row r="16" spans="1:10" ht="33" customHeight="1" x14ac:dyDescent="0.25">
      <c r="A16" s="1064" t="s">
        <v>900</v>
      </c>
      <c r="B16" s="1066">
        <v>2024</v>
      </c>
      <c r="C16" s="1079" t="s">
        <v>913</v>
      </c>
      <c r="D16" s="1080"/>
      <c r="E16" s="1081"/>
      <c r="F16" s="788"/>
    </row>
    <row r="17" spans="1:6" ht="33" customHeight="1" x14ac:dyDescent="0.25">
      <c r="A17" s="1064"/>
      <c r="B17" s="1066"/>
      <c r="C17" s="1070" t="s">
        <v>914</v>
      </c>
      <c r="D17" s="1071"/>
      <c r="E17" s="1072"/>
      <c r="F17" s="788"/>
    </row>
    <row r="18" spans="1:6" ht="33" customHeight="1" thickBot="1" x14ac:dyDescent="0.3">
      <c r="A18" s="1064"/>
      <c r="B18" s="1066"/>
      <c r="C18" s="1070" t="s">
        <v>901</v>
      </c>
      <c r="D18" s="1071"/>
      <c r="E18" s="1072"/>
      <c r="F18" s="788"/>
    </row>
    <row r="19" spans="1:6" ht="15.75" thickBot="1" x14ac:dyDescent="0.3">
      <c r="A19" s="817"/>
      <c r="B19" s="818"/>
      <c r="C19" s="818"/>
      <c r="D19" s="818"/>
      <c r="E19" s="818"/>
      <c r="F19" s="818"/>
    </row>
    <row r="20" spans="1:6" ht="33" customHeight="1" x14ac:dyDescent="0.25">
      <c r="A20" s="1063" t="s">
        <v>902</v>
      </c>
      <c r="B20" s="1065">
        <v>2024</v>
      </c>
      <c r="C20" s="1067" t="s">
        <v>913</v>
      </c>
      <c r="D20" s="1068"/>
      <c r="E20" s="1069"/>
      <c r="F20" s="791"/>
    </row>
    <row r="21" spans="1:6" ht="33" customHeight="1" x14ac:dyDescent="0.25">
      <c r="A21" s="1064"/>
      <c r="B21" s="1066"/>
      <c r="C21" s="1070" t="s">
        <v>914</v>
      </c>
      <c r="D21" s="1071"/>
      <c r="E21" s="1072"/>
      <c r="F21" s="788"/>
    </row>
    <row r="22" spans="1:6" ht="33" customHeight="1" thickBot="1" x14ac:dyDescent="0.3">
      <c r="A22" s="1064"/>
      <c r="B22" s="1066"/>
      <c r="C22" s="1070" t="s">
        <v>901</v>
      </c>
      <c r="D22" s="1071"/>
      <c r="E22" s="1072"/>
      <c r="F22" s="788"/>
    </row>
    <row r="23" spans="1:6" ht="15.75" thickBot="1" x14ac:dyDescent="0.3">
      <c r="A23" s="817"/>
      <c r="B23" s="818"/>
      <c r="C23" s="818"/>
      <c r="D23" s="818"/>
      <c r="E23" s="818"/>
      <c r="F23" s="818"/>
    </row>
    <row r="24" spans="1:6" ht="33" customHeight="1" x14ac:dyDescent="0.25">
      <c r="A24" s="1063" t="s">
        <v>903</v>
      </c>
      <c r="B24" s="1065">
        <v>2024</v>
      </c>
      <c r="C24" s="1067" t="s">
        <v>913</v>
      </c>
      <c r="D24" s="1068"/>
      <c r="E24" s="1069"/>
      <c r="F24" s="791"/>
    </row>
    <row r="25" spans="1:6" ht="33" customHeight="1" x14ac:dyDescent="0.25">
      <c r="A25" s="1064"/>
      <c r="B25" s="1066"/>
      <c r="C25" s="1070" t="s">
        <v>914</v>
      </c>
      <c r="D25" s="1071"/>
      <c r="E25" s="1072"/>
      <c r="F25" s="788"/>
    </row>
    <row r="26" spans="1:6" ht="33" customHeight="1" thickBot="1" x14ac:dyDescent="0.3">
      <c r="A26" s="1064"/>
      <c r="B26" s="1066"/>
      <c r="C26" s="1070" t="s">
        <v>901</v>
      </c>
      <c r="D26" s="1071"/>
      <c r="E26" s="1072"/>
      <c r="F26" s="788"/>
    </row>
    <row r="27" spans="1:6" ht="15.75" thickBot="1" x14ac:dyDescent="0.3">
      <c r="A27" s="817"/>
      <c r="B27" s="818"/>
      <c r="C27" s="818"/>
      <c r="D27" s="818"/>
      <c r="E27" s="818"/>
      <c r="F27" s="818"/>
    </row>
    <row r="28" spans="1:6" ht="33" customHeight="1" x14ac:dyDescent="0.25">
      <c r="A28" s="1063" t="s">
        <v>904</v>
      </c>
      <c r="B28" s="1065">
        <v>2025</v>
      </c>
      <c r="C28" s="1067" t="s">
        <v>913</v>
      </c>
      <c r="D28" s="1068"/>
      <c r="E28" s="1069"/>
      <c r="F28" s="791"/>
    </row>
    <row r="29" spans="1:6" ht="33" customHeight="1" x14ac:dyDescent="0.25">
      <c r="A29" s="1064"/>
      <c r="B29" s="1066"/>
      <c r="C29" s="1070" t="s">
        <v>914</v>
      </c>
      <c r="D29" s="1071"/>
      <c r="E29" s="1072"/>
      <c r="F29" s="788"/>
    </row>
    <row r="30" spans="1:6" ht="33" customHeight="1" thickBot="1" x14ac:dyDescent="0.3">
      <c r="A30" s="1064"/>
      <c r="B30" s="1066"/>
      <c r="C30" s="1070" t="s">
        <v>901</v>
      </c>
      <c r="D30" s="1071"/>
      <c r="E30" s="1072"/>
      <c r="F30" s="788"/>
    </row>
    <row r="31" spans="1:6" ht="15.75" thickBot="1" x14ac:dyDescent="0.3">
      <c r="A31" s="817"/>
      <c r="B31" s="818"/>
      <c r="C31" s="818"/>
      <c r="D31" s="818"/>
      <c r="E31" s="818"/>
      <c r="F31" s="818"/>
    </row>
    <row r="32" spans="1:6" ht="33" customHeight="1" x14ac:dyDescent="0.25">
      <c r="A32" s="1063" t="s">
        <v>905</v>
      </c>
      <c r="B32" s="1065">
        <v>2025</v>
      </c>
      <c r="C32" s="1067" t="s">
        <v>913</v>
      </c>
      <c r="D32" s="1068"/>
      <c r="E32" s="1069"/>
      <c r="F32" s="791"/>
    </row>
    <row r="33" spans="1:6" ht="33" customHeight="1" x14ac:dyDescent="0.25">
      <c r="A33" s="1064"/>
      <c r="B33" s="1066"/>
      <c r="C33" s="1070" t="s">
        <v>914</v>
      </c>
      <c r="D33" s="1071"/>
      <c r="E33" s="1072"/>
      <c r="F33" s="788"/>
    </row>
    <row r="34" spans="1:6" ht="33" customHeight="1" thickBot="1" x14ac:dyDescent="0.3">
      <c r="A34" s="1064"/>
      <c r="B34" s="1066"/>
      <c r="C34" s="1070" t="s">
        <v>901</v>
      </c>
      <c r="D34" s="1071"/>
      <c r="E34" s="1072"/>
      <c r="F34" s="788"/>
    </row>
    <row r="35" spans="1:6" ht="15.75" thickBot="1" x14ac:dyDescent="0.3">
      <c r="A35" s="817"/>
      <c r="B35" s="818"/>
      <c r="C35" s="818"/>
      <c r="D35" s="818"/>
      <c r="E35" s="818"/>
      <c r="F35" s="818"/>
    </row>
    <row r="36" spans="1:6" ht="33" customHeight="1" x14ac:dyDescent="0.25">
      <c r="A36" s="1063" t="s">
        <v>906</v>
      </c>
      <c r="B36" s="1065">
        <v>2025</v>
      </c>
      <c r="C36" s="1067" t="s">
        <v>913</v>
      </c>
      <c r="D36" s="1068"/>
      <c r="E36" s="1069"/>
      <c r="F36" s="791"/>
    </row>
    <row r="37" spans="1:6" ht="33" customHeight="1" x14ac:dyDescent="0.25">
      <c r="A37" s="1064"/>
      <c r="B37" s="1066"/>
      <c r="C37" s="1070" t="s">
        <v>914</v>
      </c>
      <c r="D37" s="1071"/>
      <c r="E37" s="1072"/>
      <c r="F37" s="788"/>
    </row>
    <row r="38" spans="1:6" ht="33" customHeight="1" thickBot="1" x14ac:dyDescent="0.3">
      <c r="A38" s="1064"/>
      <c r="B38" s="1066"/>
      <c r="C38" s="1070" t="s">
        <v>901</v>
      </c>
      <c r="D38" s="1071"/>
      <c r="E38" s="1072"/>
      <c r="F38" s="788"/>
    </row>
    <row r="39" spans="1:6" ht="15.75" thickBot="1" x14ac:dyDescent="0.3">
      <c r="A39" s="817"/>
      <c r="B39" s="818"/>
      <c r="C39" s="818"/>
      <c r="D39" s="818"/>
      <c r="E39" s="818"/>
      <c r="F39" s="818"/>
    </row>
    <row r="40" spans="1:6" ht="33" customHeight="1" x14ac:dyDescent="0.25">
      <c r="A40" s="1063" t="s">
        <v>907</v>
      </c>
      <c r="B40" s="1065">
        <v>2025</v>
      </c>
      <c r="C40" s="1067" t="s">
        <v>913</v>
      </c>
      <c r="D40" s="1068"/>
      <c r="E40" s="1069"/>
      <c r="F40" s="791"/>
    </row>
    <row r="41" spans="1:6" ht="33" customHeight="1" x14ac:dyDescent="0.25">
      <c r="A41" s="1064"/>
      <c r="B41" s="1066"/>
      <c r="C41" s="1070" t="s">
        <v>914</v>
      </c>
      <c r="D41" s="1071"/>
      <c r="E41" s="1072"/>
      <c r="F41" s="788"/>
    </row>
    <row r="42" spans="1:6" ht="33" customHeight="1" thickBot="1" x14ac:dyDescent="0.3">
      <c r="A42" s="1064"/>
      <c r="B42" s="1066"/>
      <c r="C42" s="1070" t="s">
        <v>901</v>
      </c>
      <c r="D42" s="1071"/>
      <c r="E42" s="1072"/>
      <c r="F42" s="788"/>
    </row>
    <row r="43" spans="1:6" ht="15.75" thickBot="1" x14ac:dyDescent="0.3">
      <c r="A43" s="817"/>
      <c r="B43" s="818"/>
      <c r="C43" s="818"/>
      <c r="D43" s="818"/>
      <c r="E43" s="818"/>
      <c r="F43" s="818"/>
    </row>
    <row r="44" spans="1:6" ht="33" customHeight="1" x14ac:dyDescent="0.25">
      <c r="A44" s="1063" t="s">
        <v>908</v>
      </c>
      <c r="B44" s="1065">
        <v>2025</v>
      </c>
      <c r="C44" s="1067" t="s">
        <v>913</v>
      </c>
      <c r="D44" s="1068"/>
      <c r="E44" s="1069"/>
      <c r="F44" s="791"/>
    </row>
    <row r="45" spans="1:6" ht="33" customHeight="1" x14ac:dyDescent="0.25">
      <c r="A45" s="1064"/>
      <c r="B45" s="1066"/>
      <c r="C45" s="1070" t="s">
        <v>914</v>
      </c>
      <c r="D45" s="1071"/>
      <c r="E45" s="1072"/>
      <c r="F45" s="788"/>
    </row>
    <row r="46" spans="1:6" ht="33" customHeight="1" thickBot="1" x14ac:dyDescent="0.3">
      <c r="A46" s="1064"/>
      <c r="B46" s="1066"/>
      <c r="C46" s="1070" t="s">
        <v>901</v>
      </c>
      <c r="D46" s="1071"/>
      <c r="E46" s="1072"/>
      <c r="F46" s="788"/>
    </row>
    <row r="47" spans="1:6" ht="15.75" thickBot="1" x14ac:dyDescent="0.3">
      <c r="A47" s="817"/>
      <c r="B47" s="818"/>
      <c r="C47" s="818"/>
      <c r="D47" s="818"/>
      <c r="E47" s="818"/>
      <c r="F47" s="818"/>
    </row>
    <row r="48" spans="1:6" ht="33" customHeight="1" x14ac:dyDescent="0.25">
      <c r="A48" s="1063" t="s">
        <v>909</v>
      </c>
      <c r="B48" s="1065">
        <v>2025</v>
      </c>
      <c r="C48" s="1067" t="s">
        <v>913</v>
      </c>
      <c r="D48" s="1068"/>
      <c r="E48" s="1069"/>
      <c r="F48" s="791"/>
    </row>
    <row r="49" spans="1:6" ht="33" customHeight="1" x14ac:dyDescent="0.25">
      <c r="A49" s="1064"/>
      <c r="B49" s="1066"/>
      <c r="C49" s="1070" t="s">
        <v>914</v>
      </c>
      <c r="D49" s="1071"/>
      <c r="E49" s="1072"/>
      <c r="F49" s="788"/>
    </row>
    <row r="50" spans="1:6" ht="33" customHeight="1" thickBot="1" x14ac:dyDescent="0.3">
      <c r="A50" s="1064"/>
      <c r="B50" s="1066"/>
      <c r="C50" s="1070" t="s">
        <v>901</v>
      </c>
      <c r="D50" s="1071"/>
      <c r="E50" s="1072"/>
      <c r="F50" s="788"/>
    </row>
    <row r="51" spans="1:6" ht="15.75" thickBot="1" x14ac:dyDescent="0.3">
      <c r="A51" s="817"/>
      <c r="B51" s="818"/>
      <c r="C51" s="818"/>
      <c r="D51" s="818"/>
      <c r="E51" s="818"/>
      <c r="F51" s="818"/>
    </row>
    <row r="52" spans="1:6" ht="33" customHeight="1" x14ac:dyDescent="0.25">
      <c r="A52" s="1063" t="s">
        <v>910</v>
      </c>
      <c r="B52" s="1065">
        <v>2025</v>
      </c>
      <c r="C52" s="1067" t="s">
        <v>913</v>
      </c>
      <c r="D52" s="1068"/>
      <c r="E52" s="1069"/>
      <c r="F52" s="791"/>
    </row>
    <row r="53" spans="1:6" ht="33" customHeight="1" x14ac:dyDescent="0.25">
      <c r="A53" s="1064"/>
      <c r="B53" s="1066"/>
      <c r="C53" s="1070" t="s">
        <v>914</v>
      </c>
      <c r="D53" s="1071"/>
      <c r="E53" s="1072"/>
      <c r="F53" s="788"/>
    </row>
    <row r="54" spans="1:6" ht="33" customHeight="1" thickBot="1" x14ac:dyDescent="0.3">
      <c r="A54" s="1064"/>
      <c r="B54" s="1066"/>
      <c r="C54" s="1070" t="s">
        <v>901</v>
      </c>
      <c r="D54" s="1071"/>
      <c r="E54" s="1072"/>
      <c r="F54" s="788"/>
    </row>
    <row r="55" spans="1:6" ht="15.75" thickBot="1" x14ac:dyDescent="0.3">
      <c r="A55" s="817"/>
      <c r="B55" s="818"/>
      <c r="C55" s="818"/>
      <c r="D55" s="818"/>
      <c r="E55" s="818"/>
      <c r="F55" s="818"/>
    </row>
    <row r="56" spans="1:6" ht="33" customHeight="1" x14ac:dyDescent="0.25">
      <c r="A56" s="1063" t="s">
        <v>911</v>
      </c>
      <c r="B56" s="1065">
        <v>2025</v>
      </c>
      <c r="C56" s="1067" t="s">
        <v>913</v>
      </c>
      <c r="D56" s="1068"/>
      <c r="E56" s="1069"/>
      <c r="F56" s="791"/>
    </row>
    <row r="57" spans="1:6" ht="33" customHeight="1" x14ac:dyDescent="0.25">
      <c r="A57" s="1064"/>
      <c r="B57" s="1066"/>
      <c r="C57" s="1070" t="s">
        <v>914</v>
      </c>
      <c r="D57" s="1071"/>
      <c r="E57" s="1072"/>
      <c r="F57" s="788"/>
    </row>
    <row r="58" spans="1:6" ht="33" customHeight="1" thickBot="1" x14ac:dyDescent="0.3">
      <c r="A58" s="1064"/>
      <c r="B58" s="1066"/>
      <c r="C58" s="1070" t="s">
        <v>901</v>
      </c>
      <c r="D58" s="1071"/>
      <c r="E58" s="1072"/>
      <c r="F58" s="788"/>
    </row>
    <row r="59" spans="1:6" ht="15.75" thickBot="1" x14ac:dyDescent="0.3">
      <c r="A59" s="817"/>
      <c r="B59" s="818"/>
      <c r="C59" s="818"/>
      <c r="D59" s="818"/>
      <c r="E59" s="818"/>
      <c r="F59" s="818"/>
    </row>
    <row r="60" spans="1:6" ht="33" customHeight="1" x14ac:dyDescent="0.25">
      <c r="A60" s="1063" t="s">
        <v>912</v>
      </c>
      <c r="B60" s="1065">
        <v>2025</v>
      </c>
      <c r="C60" s="1067" t="s">
        <v>913</v>
      </c>
      <c r="D60" s="1068"/>
      <c r="E60" s="1069"/>
      <c r="F60" s="791"/>
    </row>
    <row r="61" spans="1:6" ht="33" customHeight="1" x14ac:dyDescent="0.25">
      <c r="A61" s="1064"/>
      <c r="B61" s="1066"/>
      <c r="C61" s="1070" t="s">
        <v>914</v>
      </c>
      <c r="D61" s="1071"/>
      <c r="E61" s="1072"/>
      <c r="F61" s="788"/>
    </row>
    <row r="62" spans="1:6" ht="33" customHeight="1" thickBot="1" x14ac:dyDescent="0.3">
      <c r="A62" s="1064"/>
      <c r="B62" s="1066"/>
      <c r="C62" s="1070" t="s">
        <v>901</v>
      </c>
      <c r="D62" s="1071"/>
      <c r="E62" s="1072"/>
      <c r="F62" s="788"/>
    </row>
    <row r="63" spans="1:6" ht="15.75" thickBot="1" x14ac:dyDescent="0.3">
      <c r="A63" s="817"/>
      <c r="B63" s="818"/>
      <c r="C63" s="818"/>
      <c r="D63" s="818"/>
      <c r="E63" s="818"/>
      <c r="F63" s="818"/>
    </row>
  </sheetData>
  <sheetProtection algorithmName="SHA-512" hashValue="fbGnt4ixPMEiI3EOHUcpgnt+VC/9GUiGOLAom1aCy4QtR6t65aFKJc7bqTzwlyxv2TX3z/3jz71QSqXAGkk2tQ==" saltValue="HTPJ/n9+63Hpl08rnJzvTA==" spinCount="100000" sheet="1" objects="1" scenarios="1"/>
  <mergeCells count="89">
    <mergeCell ref="A52:A54"/>
    <mergeCell ref="B52:B54"/>
    <mergeCell ref="C52:E52"/>
    <mergeCell ref="C53:E53"/>
    <mergeCell ref="C54:E54"/>
    <mergeCell ref="A24:A26"/>
    <mergeCell ref="B24:B26"/>
    <mergeCell ref="C24:E24"/>
    <mergeCell ref="C25:E25"/>
    <mergeCell ref="C26:E26"/>
    <mergeCell ref="C32:E32"/>
    <mergeCell ref="C33:E33"/>
    <mergeCell ref="C29:E29"/>
    <mergeCell ref="C30:E30"/>
    <mergeCell ref="A28:A30"/>
    <mergeCell ref="B28:B30"/>
    <mergeCell ref="C28:E28"/>
    <mergeCell ref="A32:A34"/>
    <mergeCell ref="B32:B34"/>
    <mergeCell ref="C34:E34"/>
    <mergeCell ref="A56:A58"/>
    <mergeCell ref="B56:B58"/>
    <mergeCell ref="C56:E56"/>
    <mergeCell ref="C57:E57"/>
    <mergeCell ref="C58:E58"/>
    <mergeCell ref="H6:J6"/>
    <mergeCell ref="A48:A50"/>
    <mergeCell ref="B48:B50"/>
    <mergeCell ref="C48:E48"/>
    <mergeCell ref="C49:E49"/>
    <mergeCell ref="C50:E50"/>
    <mergeCell ref="A44:A46"/>
    <mergeCell ref="B44:B46"/>
    <mergeCell ref="C44:E44"/>
    <mergeCell ref="A40:A42"/>
    <mergeCell ref="B40:B42"/>
    <mergeCell ref="C40:E40"/>
    <mergeCell ref="C41:E41"/>
    <mergeCell ref="C45:E45"/>
    <mergeCell ref="C46:E46"/>
    <mergeCell ref="C42:E42"/>
    <mergeCell ref="C21:E21"/>
    <mergeCell ref="C1:E1"/>
    <mergeCell ref="G1:J1"/>
    <mergeCell ref="C18:E18"/>
    <mergeCell ref="C17:E17"/>
    <mergeCell ref="C16:E16"/>
    <mergeCell ref="D6:E6"/>
    <mergeCell ref="D7:E7"/>
    <mergeCell ref="C14:E14"/>
    <mergeCell ref="A5:J5"/>
    <mergeCell ref="A2:J2"/>
    <mergeCell ref="A3:J3"/>
    <mergeCell ref="A16:A18"/>
    <mergeCell ref="B16:B18"/>
    <mergeCell ref="A13:J13"/>
    <mergeCell ref="A11:J11"/>
    <mergeCell ref="F9:G9"/>
    <mergeCell ref="A60:A62"/>
    <mergeCell ref="B60:B62"/>
    <mergeCell ref="C60:E60"/>
    <mergeCell ref="C61:E61"/>
    <mergeCell ref="C62:E62"/>
    <mergeCell ref="A36:A38"/>
    <mergeCell ref="B36:B38"/>
    <mergeCell ref="C36:E36"/>
    <mergeCell ref="C37:E37"/>
    <mergeCell ref="C38:E38"/>
    <mergeCell ref="C22:E22"/>
    <mergeCell ref="A14:B14"/>
    <mergeCell ref="A20:A22"/>
    <mergeCell ref="B20:B22"/>
    <mergeCell ref="C20:E20"/>
    <mergeCell ref="A6:C6"/>
    <mergeCell ref="A7:C7"/>
    <mergeCell ref="A4:J4"/>
    <mergeCell ref="H12:J12"/>
    <mergeCell ref="A8:C9"/>
    <mergeCell ref="A12:G12"/>
    <mergeCell ref="F8:G8"/>
    <mergeCell ref="F7:G7"/>
    <mergeCell ref="F6:G6"/>
    <mergeCell ref="H7:J7"/>
    <mergeCell ref="H8:J8"/>
    <mergeCell ref="H9:J9"/>
    <mergeCell ref="H10:J10"/>
    <mergeCell ref="A10:C10"/>
    <mergeCell ref="F10:G10"/>
    <mergeCell ref="D8:E9"/>
  </mergeCells>
  <phoneticPr fontId="15" type="noConversion"/>
  <hyperlinks>
    <hyperlink ref="H12" r:id="rId1" xr:uid="{6C9D1DA6-33E7-4221-8775-1B338E663A1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71BE4-A14F-4B73-BE2F-3C4FFF27FB07}">
  <dimension ref="A1:G989"/>
  <sheetViews>
    <sheetView workbookViewId="0">
      <selection activeCell="M9" sqref="M9"/>
    </sheetView>
  </sheetViews>
  <sheetFormatPr defaultColWidth="14.42578125" defaultRowHeight="15" x14ac:dyDescent="0.25"/>
  <cols>
    <col min="1" max="1" width="12" customWidth="1"/>
    <col min="2" max="2" width="13.7109375" customWidth="1"/>
    <col min="3" max="3" width="19" customWidth="1"/>
    <col min="4" max="4" width="19.42578125" customWidth="1"/>
    <col min="5" max="5" width="15.85546875" customWidth="1"/>
    <col min="6" max="6" width="19.140625" customWidth="1"/>
    <col min="7" max="20" width="8.7109375" customWidth="1"/>
  </cols>
  <sheetData>
    <row r="1" spans="1:6" ht="21" customHeight="1" x14ac:dyDescent="0.25">
      <c r="A1" s="1018" t="s">
        <v>916</v>
      </c>
      <c r="B1" s="1019"/>
      <c r="C1" s="1019"/>
      <c r="D1" s="1019"/>
      <c r="E1" s="1019"/>
      <c r="F1" s="1020"/>
    </row>
    <row r="2" spans="1:6" ht="44.25" customHeight="1" x14ac:dyDescent="0.25">
      <c r="A2" s="795" t="s">
        <v>917</v>
      </c>
      <c r="B2" s="796" t="s">
        <v>918</v>
      </c>
      <c r="C2" s="1021" t="s">
        <v>919</v>
      </c>
      <c r="D2" s="1022"/>
      <c r="E2" s="1023"/>
      <c r="F2" s="797" t="s">
        <v>920</v>
      </c>
    </row>
    <row r="3" spans="1:6" ht="49.5" customHeight="1" x14ac:dyDescent="0.25">
      <c r="A3" s="798"/>
      <c r="B3" s="799"/>
      <c r="C3" s="1024"/>
      <c r="D3" s="1025"/>
      <c r="E3" s="1026"/>
      <c r="F3" s="800"/>
    </row>
    <row r="4" spans="1:6" ht="49.5" customHeight="1" x14ac:dyDescent="0.25">
      <c r="A4" s="801"/>
      <c r="B4" s="802"/>
      <c r="C4" s="1027"/>
      <c r="D4" s="1028"/>
      <c r="E4" s="1028"/>
      <c r="F4" s="804"/>
    </row>
    <row r="5" spans="1:6" ht="49.5" customHeight="1" x14ac:dyDescent="0.25">
      <c r="A5" s="798"/>
      <c r="B5" s="805"/>
      <c r="C5" s="1029"/>
      <c r="D5" s="1030"/>
      <c r="E5" s="1031"/>
      <c r="F5" s="800"/>
    </row>
    <row r="6" spans="1:6" ht="49.5" customHeight="1" x14ac:dyDescent="0.25">
      <c r="A6" s="806"/>
      <c r="B6" s="807"/>
      <c r="C6" s="1010"/>
      <c r="D6" s="1011"/>
      <c r="E6" s="1012"/>
      <c r="F6" s="808"/>
    </row>
    <row r="7" spans="1:6" ht="49.5" customHeight="1" x14ac:dyDescent="0.25">
      <c r="A7" s="798"/>
      <c r="B7" s="809"/>
      <c r="C7" s="1013"/>
      <c r="D7" s="1011"/>
      <c r="E7" s="1012"/>
      <c r="F7" s="800"/>
    </row>
    <row r="8" spans="1:6" ht="49.5" customHeight="1" x14ac:dyDescent="0.25">
      <c r="A8" s="806"/>
      <c r="B8" s="807"/>
      <c r="C8" s="1010"/>
      <c r="D8" s="1011"/>
      <c r="E8" s="1012"/>
      <c r="F8" s="808"/>
    </row>
    <row r="9" spans="1:6" ht="49.5" customHeight="1" x14ac:dyDescent="0.25">
      <c r="A9" s="798"/>
      <c r="B9" s="809"/>
      <c r="C9" s="1013"/>
      <c r="D9" s="1011"/>
      <c r="E9" s="1012"/>
      <c r="F9" s="800"/>
    </row>
    <row r="10" spans="1:6" ht="49.5" customHeight="1" x14ac:dyDescent="0.25">
      <c r="A10" s="806"/>
      <c r="B10" s="807"/>
      <c r="C10" s="1010"/>
      <c r="D10" s="1011"/>
      <c r="E10" s="1012"/>
      <c r="F10" s="808"/>
    </row>
    <row r="11" spans="1:6" ht="49.5" customHeight="1" x14ac:dyDescent="0.25">
      <c r="A11" s="798"/>
      <c r="B11" s="809"/>
      <c r="C11" s="1013"/>
      <c r="D11" s="1011"/>
      <c r="E11" s="1012"/>
      <c r="F11" s="800"/>
    </row>
    <row r="12" spans="1:6" ht="49.5" customHeight="1" x14ac:dyDescent="0.25">
      <c r="A12" s="806"/>
      <c r="B12" s="807"/>
      <c r="C12" s="1010"/>
      <c r="D12" s="1011"/>
      <c r="E12" s="1012"/>
      <c r="F12" s="808"/>
    </row>
    <row r="13" spans="1:6" ht="49.5" customHeight="1" x14ac:dyDescent="0.25">
      <c r="A13" s="798"/>
      <c r="B13" s="809"/>
      <c r="C13" s="1013"/>
      <c r="D13" s="1011"/>
      <c r="E13" s="1012"/>
      <c r="F13" s="800"/>
    </row>
    <row r="14" spans="1:6" ht="49.5" customHeight="1" x14ac:dyDescent="0.25">
      <c r="A14" s="806"/>
      <c r="B14" s="807"/>
      <c r="C14" s="1010"/>
      <c r="D14" s="1011"/>
      <c r="E14" s="1012"/>
      <c r="F14" s="808"/>
    </row>
    <row r="15" spans="1:6" ht="49.5" customHeight="1" x14ac:dyDescent="0.25">
      <c r="A15" s="798"/>
      <c r="B15" s="809"/>
      <c r="C15" s="1013"/>
      <c r="D15" s="1011"/>
      <c r="E15" s="1012"/>
      <c r="F15" s="800"/>
    </row>
    <row r="16" spans="1:6" ht="49.5" customHeight="1" x14ac:dyDescent="0.25">
      <c r="A16" s="806"/>
      <c r="B16" s="807"/>
      <c r="C16" s="1010"/>
      <c r="D16" s="1011"/>
      <c r="E16" s="1012"/>
      <c r="F16" s="808"/>
    </row>
    <row r="17" spans="1:7" ht="49.5" customHeight="1" x14ac:dyDescent="0.25">
      <c r="A17" s="798"/>
      <c r="B17" s="809"/>
      <c r="C17" s="1013"/>
      <c r="D17" s="1011"/>
      <c r="E17" s="1012"/>
      <c r="F17" s="800"/>
    </row>
    <row r="18" spans="1:7" ht="49.5" customHeight="1" x14ac:dyDescent="0.25">
      <c r="A18" s="806"/>
      <c r="B18" s="807"/>
      <c r="C18" s="1010"/>
      <c r="D18" s="1011"/>
      <c r="E18" s="1012"/>
      <c r="F18" s="808"/>
    </row>
    <row r="19" spans="1:7" ht="49.5" customHeight="1" x14ac:dyDescent="0.25">
      <c r="A19" s="798"/>
      <c r="B19" s="809"/>
      <c r="C19" s="1013"/>
      <c r="D19" s="1011"/>
      <c r="E19" s="1012"/>
      <c r="F19" s="800"/>
    </row>
    <row r="20" spans="1:7" ht="49.5" customHeight="1" x14ac:dyDescent="0.25">
      <c r="A20" s="806"/>
      <c r="B20" s="807"/>
      <c r="C20" s="1010"/>
      <c r="D20" s="1011"/>
      <c r="E20" s="1012"/>
      <c r="F20" s="808"/>
    </row>
    <row r="21" spans="1:7" ht="49.5" customHeight="1" x14ac:dyDescent="0.25">
      <c r="A21" s="798"/>
      <c r="B21" s="809"/>
      <c r="C21" s="1013"/>
      <c r="D21" s="1011"/>
      <c r="E21" s="1012"/>
      <c r="F21" s="810"/>
    </row>
    <row r="22" spans="1:7" ht="49.5" customHeight="1" x14ac:dyDescent="0.25">
      <c r="A22" s="806"/>
      <c r="B22" s="807"/>
      <c r="C22" s="1010"/>
      <c r="D22" s="1011"/>
      <c r="E22" s="1011"/>
      <c r="F22" s="803"/>
      <c r="G22" s="811"/>
    </row>
    <row r="23" spans="1:7" ht="49.5" customHeight="1" x14ac:dyDescent="0.25">
      <c r="A23" s="798"/>
      <c r="B23" s="809"/>
      <c r="C23" s="1013"/>
      <c r="D23" s="1011"/>
      <c r="E23" s="1012"/>
      <c r="F23" s="812"/>
    </row>
    <row r="24" spans="1:7" ht="49.5" customHeight="1" x14ac:dyDescent="0.25">
      <c r="A24" s="806"/>
      <c r="B24" s="807"/>
      <c r="C24" s="1010"/>
      <c r="D24" s="1011"/>
      <c r="E24" s="1012"/>
      <c r="F24" s="808"/>
    </row>
    <row r="25" spans="1:7" ht="49.5" customHeight="1" x14ac:dyDescent="0.25">
      <c r="A25" s="798"/>
      <c r="B25" s="809"/>
      <c r="C25" s="1013"/>
      <c r="D25" s="1011"/>
      <c r="E25" s="1012"/>
      <c r="F25" s="800"/>
    </row>
    <row r="26" spans="1:7" ht="49.5" customHeight="1" x14ac:dyDescent="0.25">
      <c r="A26" s="806"/>
      <c r="B26" s="807"/>
      <c r="C26" s="1010"/>
      <c r="D26" s="1011"/>
      <c r="E26" s="1012"/>
      <c r="F26" s="808"/>
    </row>
    <row r="27" spans="1:7" ht="49.5" customHeight="1" x14ac:dyDescent="0.25">
      <c r="A27" s="798"/>
      <c r="B27" s="809"/>
      <c r="C27" s="1013"/>
      <c r="D27" s="1011"/>
      <c r="E27" s="1012"/>
      <c r="F27" s="800"/>
    </row>
    <row r="28" spans="1:7" ht="49.5" customHeight="1" x14ac:dyDescent="0.25">
      <c r="A28" s="806"/>
      <c r="B28" s="807"/>
      <c r="C28" s="1010"/>
      <c r="D28" s="1011"/>
      <c r="E28" s="1012"/>
      <c r="F28" s="808"/>
    </row>
    <row r="29" spans="1:7" ht="49.5" customHeight="1" x14ac:dyDescent="0.25">
      <c r="A29" s="798"/>
      <c r="B29" s="809"/>
      <c r="C29" s="1013"/>
      <c r="D29" s="1011"/>
      <c r="E29" s="1012"/>
      <c r="F29" s="800"/>
    </row>
    <row r="30" spans="1:7" ht="49.5" customHeight="1" x14ac:dyDescent="0.25">
      <c r="A30" s="806"/>
      <c r="B30" s="807"/>
      <c r="C30" s="1010"/>
      <c r="D30" s="1011"/>
      <c r="E30" s="1012"/>
      <c r="F30" s="808"/>
    </row>
    <row r="31" spans="1:7" ht="49.5" customHeight="1" x14ac:dyDescent="0.25">
      <c r="A31" s="798"/>
      <c r="B31" s="809"/>
      <c r="C31" s="1013"/>
      <c r="D31" s="1011"/>
      <c r="E31" s="1012"/>
      <c r="F31" s="800"/>
    </row>
    <row r="32" spans="1:7" ht="49.5" customHeight="1" x14ac:dyDescent="0.25">
      <c r="A32" s="806"/>
      <c r="B32" s="807"/>
      <c r="C32" s="1010"/>
      <c r="D32" s="1011"/>
      <c r="E32" s="1012"/>
      <c r="F32" s="808"/>
    </row>
    <row r="33" spans="1:6" ht="49.5" customHeight="1" x14ac:dyDescent="0.25">
      <c r="A33" s="798"/>
      <c r="B33" s="809"/>
      <c r="C33" s="1013"/>
      <c r="D33" s="1011"/>
      <c r="E33" s="1012"/>
      <c r="F33" s="800"/>
    </row>
    <row r="34" spans="1:6" ht="49.5" customHeight="1" x14ac:dyDescent="0.25">
      <c r="A34" s="806"/>
      <c r="B34" s="807"/>
      <c r="C34" s="1010"/>
      <c r="D34" s="1011"/>
      <c r="E34" s="1012"/>
      <c r="F34" s="808"/>
    </row>
    <row r="35" spans="1:6" ht="49.5" customHeight="1" x14ac:dyDescent="0.25">
      <c r="A35" s="798"/>
      <c r="B35" s="809"/>
      <c r="C35" s="1013"/>
      <c r="D35" s="1011"/>
      <c r="E35" s="1012"/>
      <c r="F35" s="800"/>
    </row>
    <row r="36" spans="1:6" ht="49.5" customHeight="1" x14ac:dyDescent="0.25">
      <c r="A36" s="806"/>
      <c r="B36" s="807"/>
      <c r="C36" s="1010"/>
      <c r="D36" s="1011"/>
      <c r="E36" s="1012"/>
      <c r="F36" s="808"/>
    </row>
    <row r="37" spans="1:6" ht="49.5" customHeight="1" x14ac:dyDescent="0.25">
      <c r="A37" s="798"/>
      <c r="B37" s="809"/>
      <c r="C37" s="1013"/>
      <c r="D37" s="1011"/>
      <c r="E37" s="1012"/>
      <c r="F37" s="800"/>
    </row>
    <row r="38" spans="1:6" ht="49.5" customHeight="1" x14ac:dyDescent="0.25">
      <c r="A38" s="806"/>
      <c r="B38" s="807"/>
      <c r="C38" s="1010"/>
      <c r="D38" s="1011"/>
      <c r="E38" s="1012"/>
      <c r="F38" s="808"/>
    </row>
    <row r="39" spans="1:6" ht="49.5" customHeight="1" x14ac:dyDescent="0.25">
      <c r="A39" s="798"/>
      <c r="B39" s="809"/>
      <c r="C39" s="1013"/>
      <c r="D39" s="1011"/>
      <c r="E39" s="1012"/>
      <c r="F39" s="800"/>
    </row>
    <row r="40" spans="1:6" ht="49.5" customHeight="1" x14ac:dyDescent="0.25">
      <c r="A40" s="806"/>
      <c r="B40" s="807"/>
      <c r="C40" s="1010"/>
      <c r="D40" s="1011"/>
      <c r="E40" s="1012"/>
      <c r="F40" s="808"/>
    </row>
    <row r="41" spans="1:6" ht="49.5" customHeight="1" x14ac:dyDescent="0.25">
      <c r="A41" s="798"/>
      <c r="B41" s="809"/>
      <c r="C41" s="1013"/>
      <c r="D41" s="1011"/>
      <c r="E41" s="1012"/>
      <c r="F41" s="800"/>
    </row>
    <row r="42" spans="1:6" ht="49.5" customHeight="1" x14ac:dyDescent="0.25">
      <c r="A42" s="806"/>
      <c r="B42" s="807"/>
      <c r="C42" s="1010"/>
      <c r="D42" s="1011"/>
      <c r="E42" s="1012"/>
      <c r="F42" s="808"/>
    </row>
    <row r="43" spans="1:6" ht="49.5" customHeight="1" x14ac:dyDescent="0.25">
      <c r="A43" s="798"/>
      <c r="B43" s="809"/>
      <c r="C43" s="1013"/>
      <c r="D43" s="1011"/>
      <c r="E43" s="1012"/>
      <c r="F43" s="800"/>
    </row>
    <row r="44" spans="1:6" ht="49.5" customHeight="1" x14ac:dyDescent="0.25">
      <c r="A44" s="806"/>
      <c r="B44" s="807"/>
      <c r="C44" s="1010"/>
      <c r="D44" s="1011"/>
      <c r="E44" s="1012"/>
      <c r="F44" s="808"/>
    </row>
    <row r="45" spans="1:6" ht="49.5" customHeight="1" x14ac:dyDescent="0.25">
      <c r="A45" s="798"/>
      <c r="B45" s="809"/>
      <c r="C45" s="1013"/>
      <c r="D45" s="1011"/>
      <c r="E45" s="1012"/>
      <c r="F45" s="808"/>
    </row>
    <row r="46" spans="1:6" ht="49.5" customHeight="1" x14ac:dyDescent="0.25">
      <c r="A46" s="806"/>
      <c r="B46" s="807"/>
      <c r="C46" s="1010"/>
      <c r="D46" s="1011"/>
      <c r="E46" s="1012"/>
      <c r="F46" s="808"/>
    </row>
    <row r="47" spans="1:6" ht="49.5" customHeight="1" x14ac:dyDescent="0.25">
      <c r="A47" s="798"/>
      <c r="B47" s="809"/>
      <c r="C47" s="1013"/>
      <c r="D47" s="1011"/>
      <c r="E47" s="1012"/>
      <c r="F47" s="800"/>
    </row>
    <row r="48" spans="1:6" ht="49.5" customHeight="1" x14ac:dyDescent="0.25">
      <c r="A48" s="806"/>
      <c r="B48" s="807"/>
      <c r="C48" s="1010"/>
      <c r="D48" s="1011"/>
      <c r="E48" s="1012"/>
      <c r="F48" s="808"/>
    </row>
    <row r="49" spans="1:6" ht="49.5" customHeight="1" x14ac:dyDescent="0.25">
      <c r="A49" s="798"/>
      <c r="B49" s="809"/>
      <c r="C49" s="1013"/>
      <c r="D49" s="1011"/>
      <c r="E49" s="1012"/>
      <c r="F49" s="800"/>
    </row>
    <row r="50" spans="1:6" ht="49.5" customHeight="1" x14ac:dyDescent="0.25">
      <c r="A50" s="806"/>
      <c r="B50" s="807"/>
      <c r="C50" s="1010"/>
      <c r="D50" s="1011"/>
      <c r="E50" s="1012"/>
      <c r="F50" s="808"/>
    </row>
    <row r="51" spans="1:6" ht="49.5" customHeight="1" x14ac:dyDescent="0.25">
      <c r="A51" s="798"/>
      <c r="B51" s="809"/>
      <c r="C51" s="1013"/>
      <c r="D51" s="1011"/>
      <c r="E51" s="1012"/>
      <c r="F51" s="800"/>
    </row>
    <row r="52" spans="1:6" ht="49.5" customHeight="1" x14ac:dyDescent="0.25">
      <c r="A52" s="806"/>
      <c r="B52" s="807"/>
      <c r="C52" s="1010"/>
      <c r="D52" s="1011"/>
      <c r="E52" s="1012"/>
      <c r="F52" s="808"/>
    </row>
    <row r="53" spans="1:6" ht="49.5" customHeight="1" x14ac:dyDescent="0.25">
      <c r="A53" s="798"/>
      <c r="B53" s="809"/>
      <c r="C53" s="1013"/>
      <c r="D53" s="1011"/>
      <c r="E53" s="1012"/>
      <c r="F53" s="800"/>
    </row>
    <row r="54" spans="1:6" ht="49.5" customHeight="1" x14ac:dyDescent="0.25">
      <c r="A54" s="806"/>
      <c r="B54" s="807"/>
      <c r="C54" s="1010"/>
      <c r="D54" s="1011"/>
      <c r="E54" s="1012"/>
      <c r="F54" s="808"/>
    </row>
    <row r="55" spans="1:6" ht="49.5" customHeight="1" x14ac:dyDescent="0.25">
      <c r="A55" s="798"/>
      <c r="B55" s="809"/>
      <c r="C55" s="1013"/>
      <c r="D55" s="1011"/>
      <c r="E55" s="1012"/>
      <c r="F55" s="800"/>
    </row>
    <row r="56" spans="1:6" ht="49.5" customHeight="1" x14ac:dyDescent="0.25">
      <c r="A56" s="806"/>
      <c r="B56" s="807"/>
      <c r="C56" s="1010"/>
      <c r="D56" s="1011"/>
      <c r="E56" s="1012"/>
      <c r="F56" s="808"/>
    </row>
    <row r="57" spans="1:6" ht="49.5" customHeight="1" x14ac:dyDescent="0.25">
      <c r="A57" s="798"/>
      <c r="B57" s="809"/>
      <c r="C57" s="1013"/>
      <c r="D57" s="1011"/>
      <c r="E57" s="1012"/>
      <c r="F57" s="800"/>
    </row>
    <row r="58" spans="1:6" ht="49.5" customHeight="1" x14ac:dyDescent="0.25">
      <c r="A58" s="806"/>
      <c r="B58" s="807"/>
      <c r="C58" s="1010"/>
      <c r="D58" s="1011"/>
      <c r="E58" s="1012"/>
      <c r="F58" s="808"/>
    </row>
    <row r="59" spans="1:6" ht="49.5" customHeight="1" x14ac:dyDescent="0.25">
      <c r="A59" s="798"/>
      <c r="B59" s="809"/>
      <c r="C59" s="1013"/>
      <c r="D59" s="1011"/>
      <c r="E59" s="1012"/>
      <c r="F59" s="800"/>
    </row>
    <row r="60" spans="1:6" ht="49.5" customHeight="1" x14ac:dyDescent="0.25">
      <c r="A60" s="806"/>
      <c r="B60" s="807"/>
      <c r="C60" s="1010"/>
      <c r="D60" s="1011"/>
      <c r="E60" s="1012"/>
      <c r="F60" s="808"/>
    </row>
    <row r="61" spans="1:6" ht="49.5" customHeight="1" x14ac:dyDescent="0.25">
      <c r="A61" s="798"/>
      <c r="B61" s="809"/>
      <c r="C61" s="1013"/>
      <c r="D61" s="1011"/>
      <c r="E61" s="1012"/>
      <c r="F61" s="800"/>
    </row>
    <row r="62" spans="1:6" ht="49.5" customHeight="1" x14ac:dyDescent="0.25">
      <c r="A62" s="806"/>
      <c r="B62" s="807"/>
      <c r="C62" s="1010"/>
      <c r="D62" s="1011"/>
      <c r="E62" s="1012"/>
      <c r="F62" s="808"/>
    </row>
    <row r="63" spans="1:6" ht="49.5" customHeight="1" x14ac:dyDescent="0.25">
      <c r="A63" s="798"/>
      <c r="B63" s="809"/>
      <c r="C63" s="1013"/>
      <c r="D63" s="1011"/>
      <c r="E63" s="1012"/>
      <c r="F63" s="800"/>
    </row>
    <row r="64" spans="1:6" ht="49.5" customHeight="1" x14ac:dyDescent="0.25">
      <c r="A64" s="806"/>
      <c r="B64" s="807"/>
      <c r="C64" s="1010"/>
      <c r="D64" s="1011"/>
      <c r="E64" s="1012"/>
      <c r="F64" s="808"/>
    </row>
    <row r="65" spans="1:6" ht="49.5" customHeight="1" x14ac:dyDescent="0.25">
      <c r="A65" s="798"/>
      <c r="B65" s="809"/>
      <c r="C65" s="1013"/>
      <c r="D65" s="1011"/>
      <c r="E65" s="1012"/>
      <c r="F65" s="800"/>
    </row>
    <row r="66" spans="1:6" ht="49.5" customHeight="1" x14ac:dyDescent="0.25">
      <c r="A66" s="806"/>
      <c r="B66" s="807"/>
      <c r="C66" s="1010"/>
      <c r="D66" s="1011"/>
      <c r="E66" s="1012"/>
      <c r="F66" s="808"/>
    </row>
    <row r="67" spans="1:6" ht="49.5" customHeight="1" x14ac:dyDescent="0.25">
      <c r="A67" s="798"/>
      <c r="B67" s="809"/>
      <c r="C67" s="1013"/>
      <c r="D67" s="1011"/>
      <c r="E67" s="1012"/>
      <c r="F67" s="800"/>
    </row>
    <row r="68" spans="1:6" ht="49.5" customHeight="1" x14ac:dyDescent="0.25">
      <c r="A68" s="806"/>
      <c r="B68" s="807"/>
      <c r="C68" s="1010"/>
      <c r="D68" s="1011"/>
      <c r="E68" s="1012"/>
      <c r="F68" s="808"/>
    </row>
    <row r="69" spans="1:6" ht="49.5" customHeight="1" x14ac:dyDescent="0.25">
      <c r="A69" s="798"/>
      <c r="B69" s="809"/>
      <c r="C69" s="1013"/>
      <c r="D69" s="1011"/>
      <c r="E69" s="1012"/>
      <c r="F69" s="800"/>
    </row>
    <row r="70" spans="1:6" ht="49.5" customHeight="1" x14ac:dyDescent="0.25">
      <c r="A70" s="806"/>
      <c r="B70" s="807"/>
      <c r="C70" s="1010"/>
      <c r="D70" s="1011"/>
      <c r="E70" s="1012"/>
      <c r="F70" s="808"/>
    </row>
    <row r="71" spans="1:6" ht="49.5" customHeight="1" x14ac:dyDescent="0.25">
      <c r="A71" s="798"/>
      <c r="B71" s="809"/>
      <c r="C71" s="1013"/>
      <c r="D71" s="1011"/>
      <c r="E71" s="1012"/>
      <c r="F71" s="800"/>
    </row>
    <row r="72" spans="1:6" ht="49.5" customHeight="1" x14ac:dyDescent="0.25">
      <c r="A72" s="806"/>
      <c r="B72" s="807"/>
      <c r="C72" s="1010"/>
      <c r="D72" s="1011"/>
      <c r="E72" s="1012"/>
      <c r="F72" s="808"/>
    </row>
    <row r="73" spans="1:6" ht="49.5" customHeight="1" x14ac:dyDescent="0.25">
      <c r="A73" s="798"/>
      <c r="B73" s="809"/>
      <c r="C73" s="1013"/>
      <c r="D73" s="1011"/>
      <c r="E73" s="1012"/>
      <c r="F73" s="800"/>
    </row>
    <row r="74" spans="1:6" ht="49.5" customHeight="1" x14ac:dyDescent="0.25">
      <c r="A74" s="806"/>
      <c r="B74" s="807"/>
      <c r="C74" s="1010"/>
      <c r="D74" s="1011"/>
      <c r="E74" s="1012"/>
      <c r="F74" s="808"/>
    </row>
    <row r="75" spans="1:6" ht="49.5" customHeight="1" x14ac:dyDescent="0.25">
      <c r="A75" s="798"/>
      <c r="B75" s="809"/>
      <c r="C75" s="1013"/>
      <c r="D75" s="1011"/>
      <c r="E75" s="1012"/>
      <c r="F75" s="800"/>
    </row>
    <row r="76" spans="1:6" ht="49.5" customHeight="1" x14ac:dyDescent="0.25">
      <c r="A76" s="806"/>
      <c r="B76" s="807"/>
      <c r="C76" s="1010"/>
      <c r="D76" s="1011"/>
      <c r="E76" s="1012"/>
      <c r="F76" s="808"/>
    </row>
    <row r="77" spans="1:6" ht="49.5" customHeight="1" x14ac:dyDescent="0.25">
      <c r="A77" s="798"/>
      <c r="B77" s="809"/>
      <c r="C77" s="1013"/>
      <c r="D77" s="1011"/>
      <c r="E77" s="1012"/>
      <c r="F77" s="800"/>
    </row>
    <row r="78" spans="1:6" ht="49.5" customHeight="1" x14ac:dyDescent="0.25">
      <c r="A78" s="806"/>
      <c r="B78" s="807"/>
      <c r="C78" s="1010"/>
      <c r="D78" s="1011"/>
      <c r="E78" s="1012"/>
      <c r="F78" s="808"/>
    </row>
    <row r="79" spans="1:6" ht="49.5" customHeight="1" x14ac:dyDescent="0.25">
      <c r="A79" s="798"/>
      <c r="B79" s="809"/>
      <c r="C79" s="1013"/>
      <c r="D79" s="1011"/>
      <c r="E79" s="1012"/>
      <c r="F79" s="800"/>
    </row>
    <row r="80" spans="1:6" ht="49.5" customHeight="1" x14ac:dyDescent="0.25">
      <c r="A80" s="806"/>
      <c r="B80" s="807"/>
      <c r="C80" s="1010"/>
      <c r="D80" s="1011"/>
      <c r="E80" s="1012"/>
      <c r="F80" s="808"/>
    </row>
    <row r="81" spans="1:6" ht="49.5" customHeight="1" x14ac:dyDescent="0.25">
      <c r="A81" s="798"/>
      <c r="B81" s="809"/>
      <c r="C81" s="1013"/>
      <c r="D81" s="1011"/>
      <c r="E81" s="1012"/>
      <c r="F81" s="800"/>
    </row>
    <row r="82" spans="1:6" ht="49.5" customHeight="1" x14ac:dyDescent="0.25">
      <c r="A82" s="806"/>
      <c r="B82" s="807"/>
      <c r="C82" s="1010"/>
      <c r="D82" s="1011"/>
      <c r="E82" s="1012"/>
      <c r="F82" s="808"/>
    </row>
    <row r="83" spans="1:6" ht="49.5" customHeight="1" x14ac:dyDescent="0.25">
      <c r="A83" s="798"/>
      <c r="B83" s="809"/>
      <c r="C83" s="1013"/>
      <c r="D83" s="1011"/>
      <c r="E83" s="1012"/>
      <c r="F83" s="800"/>
    </row>
    <row r="84" spans="1:6" ht="49.5" customHeight="1" x14ac:dyDescent="0.25">
      <c r="A84" s="806"/>
      <c r="B84" s="807"/>
      <c r="C84" s="1010"/>
      <c r="D84" s="1011"/>
      <c r="E84" s="1012"/>
      <c r="F84" s="808"/>
    </row>
    <row r="85" spans="1:6" ht="49.5" customHeight="1" x14ac:dyDescent="0.25">
      <c r="A85" s="798"/>
      <c r="B85" s="809"/>
      <c r="C85" s="1013"/>
      <c r="D85" s="1011"/>
      <c r="E85" s="1012"/>
      <c r="F85" s="800"/>
    </row>
    <row r="86" spans="1:6" ht="49.5" customHeight="1" x14ac:dyDescent="0.25">
      <c r="A86" s="806"/>
      <c r="B86" s="807"/>
      <c r="C86" s="1010"/>
      <c r="D86" s="1011"/>
      <c r="E86" s="1012"/>
      <c r="F86" s="808"/>
    </row>
    <row r="87" spans="1:6" ht="49.5" customHeight="1" x14ac:dyDescent="0.25">
      <c r="A87" s="798"/>
      <c r="B87" s="809"/>
      <c r="C87" s="1013"/>
      <c r="D87" s="1011"/>
      <c r="E87" s="1012"/>
      <c r="F87" s="800"/>
    </row>
    <row r="88" spans="1:6" ht="49.5" customHeight="1" x14ac:dyDescent="0.25">
      <c r="A88" s="806"/>
      <c r="B88" s="807"/>
      <c r="C88" s="1010"/>
      <c r="D88" s="1011"/>
      <c r="E88" s="1012"/>
      <c r="F88" s="808"/>
    </row>
    <row r="89" spans="1:6" ht="49.5" customHeight="1" x14ac:dyDescent="0.25">
      <c r="A89" s="798"/>
      <c r="B89" s="809"/>
      <c r="C89" s="1013"/>
      <c r="D89" s="1011"/>
      <c r="E89" s="1012"/>
      <c r="F89" s="800"/>
    </row>
    <row r="90" spans="1:6" ht="49.5" customHeight="1" x14ac:dyDescent="0.25">
      <c r="A90" s="806"/>
      <c r="B90" s="807"/>
      <c r="C90" s="1010"/>
      <c r="D90" s="1011"/>
      <c r="E90" s="1012"/>
      <c r="F90" s="813"/>
    </row>
    <row r="91" spans="1:6" ht="49.5" customHeight="1" x14ac:dyDescent="0.25">
      <c r="A91" s="798"/>
      <c r="B91" s="809"/>
      <c r="C91" s="1013"/>
      <c r="D91" s="1011"/>
      <c r="E91" s="1012"/>
      <c r="F91" s="800"/>
    </row>
    <row r="92" spans="1:6" ht="49.5" customHeight="1" x14ac:dyDescent="0.25">
      <c r="A92" s="806"/>
      <c r="B92" s="807"/>
      <c r="C92" s="1010"/>
      <c r="D92" s="1011"/>
      <c r="E92" s="1012"/>
      <c r="F92" s="808"/>
    </row>
    <row r="93" spans="1:6" ht="49.5" customHeight="1" x14ac:dyDescent="0.25">
      <c r="A93" s="798"/>
      <c r="B93" s="809"/>
      <c r="C93" s="1013"/>
      <c r="D93" s="1011"/>
      <c r="E93" s="1012"/>
      <c r="F93" s="800"/>
    </row>
    <row r="94" spans="1:6" ht="49.5" customHeight="1" x14ac:dyDescent="0.25">
      <c r="A94" s="806"/>
      <c r="B94" s="807"/>
      <c r="C94" s="1010"/>
      <c r="D94" s="1011"/>
      <c r="E94" s="1012"/>
      <c r="F94" s="808"/>
    </row>
    <row r="95" spans="1:6" ht="49.5" customHeight="1" x14ac:dyDescent="0.25">
      <c r="A95" s="798"/>
      <c r="B95" s="809"/>
      <c r="C95" s="1013"/>
      <c r="D95" s="1011"/>
      <c r="E95" s="1012"/>
      <c r="F95" s="814"/>
    </row>
    <row r="96" spans="1:6" ht="49.5" customHeight="1" x14ac:dyDescent="0.25">
      <c r="A96" s="806"/>
      <c r="B96" s="807"/>
      <c r="C96" s="1010"/>
      <c r="D96" s="1011"/>
      <c r="E96" s="1012"/>
      <c r="F96" s="808"/>
    </row>
    <row r="97" spans="1:6" ht="49.5" customHeight="1" x14ac:dyDescent="0.25">
      <c r="A97" s="798"/>
      <c r="B97" s="809"/>
      <c r="C97" s="1013"/>
      <c r="D97" s="1011"/>
      <c r="E97" s="1012"/>
      <c r="F97" s="800"/>
    </row>
    <row r="98" spans="1:6" ht="49.5" customHeight="1" x14ac:dyDescent="0.25">
      <c r="A98" s="806"/>
      <c r="B98" s="807"/>
      <c r="C98" s="1010"/>
      <c r="D98" s="1011"/>
      <c r="E98" s="1012"/>
      <c r="F98" s="808"/>
    </row>
    <row r="99" spans="1:6" ht="49.5" customHeight="1" x14ac:dyDescent="0.25">
      <c r="A99" s="798"/>
      <c r="B99" s="809"/>
      <c r="C99" s="1013"/>
      <c r="D99" s="1011"/>
      <c r="E99" s="1012"/>
      <c r="F99" s="800"/>
    </row>
    <row r="100" spans="1:6" ht="49.5" customHeight="1" x14ac:dyDescent="0.25">
      <c r="A100" s="806"/>
      <c r="B100" s="807"/>
      <c r="C100" s="1010"/>
      <c r="D100" s="1011"/>
      <c r="E100" s="1012"/>
      <c r="F100" s="808"/>
    </row>
    <row r="101" spans="1:6" ht="49.5" customHeight="1" x14ac:dyDescent="0.25">
      <c r="A101" s="798"/>
      <c r="B101" s="809"/>
      <c r="C101" s="1013"/>
      <c r="D101" s="1011"/>
      <c r="E101" s="1012"/>
      <c r="F101" s="800"/>
    </row>
    <row r="102" spans="1:6" ht="49.5" customHeight="1" x14ac:dyDescent="0.25">
      <c r="A102" s="806"/>
      <c r="B102" s="807"/>
      <c r="C102" s="1010"/>
      <c r="D102" s="1011"/>
      <c r="E102" s="1012"/>
      <c r="F102" s="808"/>
    </row>
    <row r="103" spans="1:6" ht="49.5" customHeight="1" x14ac:dyDescent="0.25">
      <c r="A103" s="798"/>
      <c r="B103" s="809"/>
      <c r="C103" s="1013"/>
      <c r="D103" s="1011"/>
      <c r="E103" s="1012"/>
      <c r="F103" s="800"/>
    </row>
    <row r="104" spans="1:6" ht="49.5" customHeight="1" x14ac:dyDescent="0.25">
      <c r="A104" s="806"/>
      <c r="B104" s="807"/>
      <c r="C104" s="1010"/>
      <c r="D104" s="1011"/>
      <c r="E104" s="1012"/>
      <c r="F104" s="800"/>
    </row>
    <row r="105" spans="1:6" ht="49.5" customHeight="1" x14ac:dyDescent="0.25">
      <c r="A105" s="798"/>
      <c r="B105" s="809"/>
      <c r="C105" s="1013"/>
      <c r="D105" s="1011"/>
      <c r="E105" s="1012"/>
      <c r="F105" s="800"/>
    </row>
    <row r="106" spans="1:6" ht="49.5" customHeight="1" x14ac:dyDescent="0.25">
      <c r="A106" s="806"/>
      <c r="B106" s="807"/>
      <c r="C106" s="1010"/>
      <c r="D106" s="1011"/>
      <c r="E106" s="1012"/>
      <c r="F106" s="808"/>
    </row>
    <row r="107" spans="1:6" ht="49.5" customHeight="1" x14ac:dyDescent="0.25">
      <c r="A107" s="798"/>
      <c r="B107" s="809"/>
      <c r="C107" s="1013"/>
      <c r="D107" s="1011"/>
      <c r="E107" s="1012"/>
      <c r="F107" s="800"/>
    </row>
    <row r="108" spans="1:6" ht="49.5" customHeight="1" x14ac:dyDescent="0.25">
      <c r="A108" s="806"/>
      <c r="B108" s="807"/>
      <c r="C108" s="1010"/>
      <c r="D108" s="1011"/>
      <c r="E108" s="1012"/>
      <c r="F108" s="800"/>
    </row>
    <row r="109" spans="1:6" ht="49.5" customHeight="1" x14ac:dyDescent="0.25">
      <c r="A109" s="798"/>
      <c r="B109" s="809"/>
      <c r="C109" s="1013"/>
      <c r="D109" s="1011"/>
      <c r="E109" s="1012"/>
      <c r="F109" s="800"/>
    </row>
    <row r="110" spans="1:6" ht="49.5" customHeight="1" x14ac:dyDescent="0.25">
      <c r="A110" s="806"/>
      <c r="B110" s="807"/>
      <c r="C110" s="1010"/>
      <c r="D110" s="1011"/>
      <c r="E110" s="1012"/>
      <c r="F110" s="808"/>
    </row>
    <row r="111" spans="1:6" ht="49.5" customHeight="1" x14ac:dyDescent="0.25">
      <c r="A111" s="798"/>
      <c r="B111" s="809"/>
      <c r="C111" s="1013"/>
      <c r="D111" s="1011"/>
      <c r="E111" s="1012"/>
      <c r="F111" s="800"/>
    </row>
    <row r="112" spans="1:6" ht="49.5" customHeight="1" x14ac:dyDescent="0.25">
      <c r="A112" s="806"/>
      <c r="B112" s="807"/>
      <c r="C112" s="1010"/>
      <c r="D112" s="1011"/>
      <c r="E112" s="1012"/>
      <c r="F112" s="808"/>
    </row>
    <row r="113" spans="1:6" ht="49.5" customHeight="1" x14ac:dyDescent="0.25">
      <c r="A113" s="798"/>
      <c r="B113" s="809"/>
      <c r="C113" s="1013"/>
      <c r="D113" s="1011"/>
      <c r="E113" s="1012"/>
      <c r="F113" s="800"/>
    </row>
    <row r="114" spans="1:6" ht="49.5" customHeight="1" x14ac:dyDescent="0.25">
      <c r="A114" s="806"/>
      <c r="B114" s="807"/>
      <c r="C114" s="1010"/>
      <c r="D114" s="1011"/>
      <c r="E114" s="1012"/>
      <c r="F114" s="808"/>
    </row>
    <row r="115" spans="1:6" ht="49.5" customHeight="1" x14ac:dyDescent="0.25">
      <c r="A115" s="798"/>
      <c r="B115" s="809"/>
      <c r="C115" s="1013"/>
      <c r="D115" s="1011"/>
      <c r="E115" s="1012"/>
      <c r="F115" s="800"/>
    </row>
    <row r="116" spans="1:6" ht="49.5" customHeight="1" x14ac:dyDescent="0.25">
      <c r="A116" s="806"/>
      <c r="B116" s="807"/>
      <c r="C116" s="1010"/>
      <c r="D116" s="1011"/>
      <c r="E116" s="1012"/>
      <c r="F116" s="808"/>
    </row>
    <row r="117" spans="1:6" ht="49.5" customHeight="1" x14ac:dyDescent="0.25">
      <c r="A117" s="798"/>
      <c r="B117" s="809"/>
      <c r="C117" s="1013"/>
      <c r="D117" s="1011"/>
      <c r="E117" s="1012"/>
      <c r="F117" s="800"/>
    </row>
    <row r="118" spans="1:6" ht="49.5" customHeight="1" x14ac:dyDescent="0.25">
      <c r="A118" s="806"/>
      <c r="B118" s="807"/>
      <c r="C118" s="1010"/>
      <c r="D118" s="1011"/>
      <c r="E118" s="1012"/>
      <c r="F118" s="808"/>
    </row>
    <row r="119" spans="1:6" ht="49.5" customHeight="1" x14ac:dyDescent="0.25">
      <c r="A119" s="798"/>
      <c r="B119" s="809"/>
      <c r="C119" s="1013"/>
      <c r="D119" s="1011"/>
      <c r="E119" s="1012"/>
      <c r="F119" s="800"/>
    </row>
    <row r="120" spans="1:6" ht="49.5" customHeight="1" x14ac:dyDescent="0.25">
      <c r="A120" s="806"/>
      <c r="B120" s="807"/>
      <c r="C120" s="1010"/>
      <c r="D120" s="1011"/>
      <c r="E120" s="1012"/>
      <c r="F120" s="808"/>
    </row>
    <row r="121" spans="1:6" ht="49.5" customHeight="1" x14ac:dyDescent="0.25">
      <c r="A121" s="798"/>
      <c r="B121" s="809"/>
      <c r="C121" s="1013"/>
      <c r="D121" s="1011"/>
      <c r="E121" s="1012"/>
      <c r="F121" s="800"/>
    </row>
    <row r="122" spans="1:6" ht="49.5" customHeight="1" x14ac:dyDescent="0.25">
      <c r="A122" s="806"/>
      <c r="B122" s="807"/>
      <c r="C122" s="1010"/>
      <c r="D122" s="1011"/>
      <c r="E122" s="1012"/>
      <c r="F122" s="808"/>
    </row>
    <row r="123" spans="1:6" ht="49.5" customHeight="1" x14ac:dyDescent="0.25">
      <c r="A123" s="798"/>
      <c r="B123" s="809"/>
      <c r="C123" s="1013"/>
      <c r="D123" s="1011"/>
      <c r="E123" s="1012"/>
      <c r="F123" s="800"/>
    </row>
    <row r="124" spans="1:6" ht="49.5" customHeight="1" x14ac:dyDescent="0.25">
      <c r="A124" s="806"/>
      <c r="B124" s="807"/>
      <c r="C124" s="1010"/>
      <c r="D124" s="1011"/>
      <c r="E124" s="1012"/>
      <c r="F124" s="808"/>
    </row>
    <row r="125" spans="1:6" ht="49.5" customHeight="1" x14ac:dyDescent="0.25">
      <c r="A125" s="798"/>
      <c r="B125" s="809"/>
      <c r="C125" s="1013"/>
      <c r="D125" s="1011"/>
      <c r="E125" s="1012"/>
      <c r="F125" s="800"/>
    </row>
    <row r="126" spans="1:6" ht="49.5" customHeight="1" x14ac:dyDescent="0.25">
      <c r="A126" s="806"/>
      <c r="B126" s="807"/>
      <c r="C126" s="1010"/>
      <c r="D126" s="1011"/>
      <c r="E126" s="1012"/>
      <c r="F126" s="808"/>
    </row>
    <row r="127" spans="1:6" ht="49.5" customHeight="1" x14ac:dyDescent="0.25">
      <c r="A127" s="798"/>
      <c r="B127" s="809"/>
      <c r="C127" s="1013"/>
      <c r="D127" s="1011"/>
      <c r="E127" s="1012"/>
      <c r="F127" s="800"/>
    </row>
    <row r="128" spans="1:6" ht="49.5" customHeight="1" x14ac:dyDescent="0.25">
      <c r="A128" s="806"/>
      <c r="B128" s="807"/>
      <c r="C128" s="1010"/>
      <c r="D128" s="1011"/>
      <c r="E128" s="1012"/>
      <c r="F128" s="808"/>
    </row>
    <row r="129" spans="1:6" ht="49.5" customHeight="1" x14ac:dyDescent="0.25">
      <c r="A129" s="798"/>
      <c r="B129" s="809"/>
      <c r="C129" s="1013"/>
      <c r="D129" s="1011"/>
      <c r="E129" s="1012"/>
      <c r="F129" s="800"/>
    </row>
    <row r="130" spans="1:6" ht="49.5" customHeight="1" x14ac:dyDescent="0.25">
      <c r="A130" s="806"/>
      <c r="B130" s="807"/>
      <c r="C130" s="1010"/>
      <c r="D130" s="1011"/>
      <c r="E130" s="1012"/>
      <c r="F130" s="808"/>
    </row>
    <row r="131" spans="1:6" ht="49.5" customHeight="1" x14ac:dyDescent="0.25">
      <c r="A131" s="798"/>
      <c r="B131" s="809"/>
      <c r="C131" s="1013"/>
      <c r="D131" s="1011"/>
      <c r="E131" s="1012"/>
      <c r="F131" s="800"/>
    </row>
    <row r="132" spans="1:6" ht="49.5" customHeight="1" x14ac:dyDescent="0.25">
      <c r="A132" s="806"/>
      <c r="B132" s="807"/>
      <c r="C132" s="1010"/>
      <c r="D132" s="1011"/>
      <c r="E132" s="1012"/>
      <c r="F132" s="808"/>
    </row>
    <row r="133" spans="1:6" ht="49.5" customHeight="1" x14ac:dyDescent="0.25">
      <c r="A133" s="798"/>
      <c r="B133" s="809"/>
      <c r="C133" s="1013"/>
      <c r="D133" s="1011"/>
      <c r="E133" s="1012"/>
      <c r="F133" s="800"/>
    </row>
    <row r="134" spans="1:6" ht="49.5" customHeight="1" x14ac:dyDescent="0.25">
      <c r="A134" s="806"/>
      <c r="B134" s="807"/>
      <c r="C134" s="1010"/>
      <c r="D134" s="1011"/>
      <c r="E134" s="1012"/>
      <c r="F134" s="808"/>
    </row>
    <row r="135" spans="1:6" ht="49.5" customHeight="1" x14ac:dyDescent="0.25">
      <c r="A135" s="798"/>
      <c r="B135" s="809"/>
      <c r="C135" s="1013"/>
      <c r="D135" s="1011"/>
      <c r="E135" s="1012"/>
      <c r="F135" s="800"/>
    </row>
    <row r="136" spans="1:6" ht="49.5" customHeight="1" x14ac:dyDescent="0.25">
      <c r="A136" s="806"/>
      <c r="B136" s="807"/>
      <c r="C136" s="1010"/>
      <c r="D136" s="1011"/>
      <c r="E136" s="1012"/>
      <c r="F136" s="808"/>
    </row>
    <row r="137" spans="1:6" ht="49.5" customHeight="1" x14ac:dyDescent="0.25">
      <c r="A137" s="798"/>
      <c r="B137" s="809"/>
      <c r="C137" s="1013"/>
      <c r="D137" s="1011"/>
      <c r="E137" s="1012"/>
      <c r="F137" s="800"/>
    </row>
    <row r="138" spans="1:6" ht="49.5" customHeight="1" x14ac:dyDescent="0.25">
      <c r="A138" s="806"/>
      <c r="B138" s="807"/>
      <c r="C138" s="1010"/>
      <c r="D138" s="1011"/>
      <c r="E138" s="1012"/>
      <c r="F138" s="808"/>
    </row>
    <row r="139" spans="1:6" ht="49.5" customHeight="1" x14ac:dyDescent="0.25">
      <c r="A139" s="798"/>
      <c r="B139" s="809"/>
      <c r="C139" s="1013"/>
      <c r="D139" s="1011"/>
      <c r="E139" s="1012"/>
      <c r="F139" s="800"/>
    </row>
    <row r="140" spans="1:6" ht="49.5" customHeight="1" x14ac:dyDescent="0.25">
      <c r="A140" s="806"/>
      <c r="B140" s="807"/>
      <c r="C140" s="1010"/>
      <c r="D140" s="1011"/>
      <c r="E140" s="1012"/>
      <c r="F140" s="808"/>
    </row>
    <row r="141" spans="1:6" ht="49.5" customHeight="1" x14ac:dyDescent="0.25">
      <c r="A141" s="798"/>
      <c r="B141" s="809"/>
      <c r="C141" s="1013"/>
      <c r="D141" s="1011"/>
      <c r="E141" s="1012"/>
      <c r="F141" s="800"/>
    </row>
    <row r="142" spans="1:6" ht="49.5" customHeight="1" x14ac:dyDescent="0.25">
      <c r="A142" s="806"/>
      <c r="B142" s="807"/>
      <c r="C142" s="1010"/>
      <c r="D142" s="1011"/>
      <c r="E142" s="1012"/>
      <c r="F142" s="808"/>
    </row>
    <row r="143" spans="1:6" ht="49.5" customHeight="1" x14ac:dyDescent="0.25">
      <c r="A143" s="798"/>
      <c r="B143" s="809"/>
      <c r="C143" s="1013"/>
      <c r="D143" s="1011"/>
      <c r="E143" s="1012"/>
      <c r="F143" s="800"/>
    </row>
    <row r="144" spans="1:6" ht="49.5" customHeight="1" x14ac:dyDescent="0.25">
      <c r="A144" s="806"/>
      <c r="B144" s="807"/>
      <c r="C144" s="1010"/>
      <c r="D144" s="1011"/>
      <c r="E144" s="1012"/>
      <c r="F144" s="808"/>
    </row>
    <row r="145" spans="1:6" ht="49.5" customHeight="1" x14ac:dyDescent="0.25">
      <c r="A145" s="798"/>
      <c r="B145" s="809"/>
      <c r="C145" s="1013"/>
      <c r="D145" s="1011"/>
      <c r="E145" s="1012"/>
      <c r="F145" s="800"/>
    </row>
    <row r="146" spans="1:6" ht="49.5" customHeight="1" x14ac:dyDescent="0.25">
      <c r="A146" s="806"/>
      <c r="B146" s="807"/>
      <c r="C146" s="1010"/>
      <c r="D146" s="1011"/>
      <c r="E146" s="1012"/>
      <c r="F146" s="808"/>
    </row>
    <row r="147" spans="1:6" ht="49.5" customHeight="1" x14ac:dyDescent="0.25">
      <c r="A147" s="798"/>
      <c r="B147" s="809"/>
      <c r="C147" s="1013"/>
      <c r="D147" s="1011"/>
      <c r="E147" s="1012"/>
      <c r="F147" s="800"/>
    </row>
    <row r="148" spans="1:6" ht="49.5" customHeight="1" x14ac:dyDescent="0.25">
      <c r="A148" s="806"/>
      <c r="B148" s="807"/>
      <c r="C148" s="1010"/>
      <c r="D148" s="1011"/>
      <c r="E148" s="1012"/>
      <c r="F148" s="808"/>
    </row>
    <row r="149" spans="1:6" ht="49.5" customHeight="1" x14ac:dyDescent="0.25">
      <c r="A149" s="798"/>
      <c r="B149" s="809"/>
      <c r="C149" s="1013"/>
      <c r="D149" s="1011"/>
      <c r="E149" s="1012"/>
      <c r="F149" s="800"/>
    </row>
    <row r="150" spans="1:6" ht="49.5" customHeight="1" x14ac:dyDescent="0.25">
      <c r="A150" s="806"/>
      <c r="B150" s="807"/>
      <c r="C150" s="1010"/>
      <c r="D150" s="1011"/>
      <c r="E150" s="1012"/>
      <c r="F150" s="808"/>
    </row>
    <row r="151" spans="1:6" ht="49.5" customHeight="1" x14ac:dyDescent="0.25">
      <c r="A151" s="798"/>
      <c r="B151" s="809"/>
      <c r="C151" s="1013"/>
      <c r="D151" s="1011"/>
      <c r="E151" s="1012"/>
      <c r="F151" s="800"/>
    </row>
    <row r="152" spans="1:6" ht="49.5" customHeight="1" x14ac:dyDescent="0.25">
      <c r="A152" s="806"/>
      <c r="B152" s="807"/>
      <c r="C152" s="1010"/>
      <c r="D152" s="1011"/>
      <c r="E152" s="1012"/>
      <c r="F152" s="808"/>
    </row>
    <row r="153" spans="1:6" ht="49.5" customHeight="1" x14ac:dyDescent="0.25">
      <c r="A153" s="798"/>
      <c r="B153" s="809"/>
      <c r="C153" s="1013"/>
      <c r="D153" s="1011"/>
      <c r="E153" s="1012"/>
      <c r="F153" s="800"/>
    </row>
    <row r="154" spans="1:6" ht="49.5" customHeight="1" x14ac:dyDescent="0.25">
      <c r="A154" s="806"/>
      <c r="B154" s="807"/>
      <c r="C154" s="1010"/>
      <c r="D154" s="1011"/>
      <c r="E154" s="1012"/>
      <c r="F154" s="808"/>
    </row>
    <row r="155" spans="1:6" ht="49.5" customHeight="1" x14ac:dyDescent="0.25">
      <c r="A155" s="798"/>
      <c r="B155" s="809"/>
      <c r="C155" s="1013"/>
      <c r="D155" s="1011"/>
      <c r="E155" s="1012"/>
      <c r="F155" s="800"/>
    </row>
    <row r="156" spans="1:6" ht="49.5" customHeight="1" x14ac:dyDescent="0.25">
      <c r="A156" s="806"/>
      <c r="B156" s="807"/>
      <c r="C156" s="1010"/>
      <c r="D156" s="1011"/>
      <c r="E156" s="1012"/>
      <c r="F156" s="808"/>
    </row>
    <row r="157" spans="1:6" ht="49.5" customHeight="1" x14ac:dyDescent="0.25">
      <c r="A157" s="798"/>
      <c r="B157" s="809"/>
      <c r="C157" s="1013"/>
      <c r="D157" s="1011"/>
      <c r="E157" s="1012"/>
      <c r="F157" s="800"/>
    </row>
    <row r="158" spans="1:6" ht="49.5" customHeight="1" x14ac:dyDescent="0.25">
      <c r="A158" s="806"/>
      <c r="B158" s="807"/>
      <c r="C158" s="1010"/>
      <c r="D158" s="1011"/>
      <c r="E158" s="1012"/>
      <c r="F158" s="808"/>
    </row>
    <row r="159" spans="1:6" ht="49.5" customHeight="1" x14ac:dyDescent="0.25">
      <c r="A159" s="798"/>
      <c r="B159" s="809"/>
      <c r="C159" s="1013"/>
      <c r="D159" s="1011"/>
      <c r="E159" s="1012"/>
      <c r="F159" s="800"/>
    </row>
    <row r="160" spans="1:6" ht="49.5" customHeight="1" x14ac:dyDescent="0.25">
      <c r="A160" s="806"/>
      <c r="B160" s="807"/>
      <c r="C160" s="1013"/>
      <c r="D160" s="1011"/>
      <c r="E160" s="1012"/>
      <c r="F160" s="800"/>
    </row>
    <row r="161" spans="1:6" ht="49.5" customHeight="1" x14ac:dyDescent="0.25">
      <c r="A161" s="798"/>
      <c r="B161" s="809"/>
      <c r="C161" s="1013"/>
      <c r="D161" s="1011"/>
      <c r="E161" s="1012"/>
      <c r="F161" s="800"/>
    </row>
    <row r="162" spans="1:6" ht="49.5" customHeight="1" x14ac:dyDescent="0.25">
      <c r="A162" s="806"/>
      <c r="B162" s="807"/>
      <c r="C162" s="1010"/>
      <c r="D162" s="1011"/>
      <c r="E162" s="1012"/>
      <c r="F162" s="808"/>
    </row>
    <row r="163" spans="1:6" ht="49.5" customHeight="1" x14ac:dyDescent="0.25">
      <c r="A163" s="798"/>
      <c r="B163" s="809"/>
      <c r="C163" s="1013"/>
      <c r="D163" s="1011"/>
      <c r="E163" s="1012"/>
      <c r="F163" s="800"/>
    </row>
    <row r="164" spans="1:6" ht="49.5" customHeight="1" x14ac:dyDescent="0.25">
      <c r="A164" s="806"/>
      <c r="B164" s="807"/>
      <c r="C164" s="1010"/>
      <c r="D164" s="1011"/>
      <c r="E164" s="1012"/>
      <c r="F164" s="808"/>
    </row>
    <row r="165" spans="1:6" ht="49.5" customHeight="1" x14ac:dyDescent="0.25">
      <c r="A165" s="798"/>
      <c r="B165" s="809"/>
      <c r="C165" s="1013"/>
      <c r="D165" s="1011"/>
      <c r="E165" s="1012"/>
      <c r="F165" s="800"/>
    </row>
    <row r="166" spans="1:6" ht="49.5" customHeight="1" x14ac:dyDescent="0.25">
      <c r="A166" s="806"/>
      <c r="B166" s="807"/>
      <c r="C166" s="1010"/>
      <c r="D166" s="1011"/>
      <c r="E166" s="1012"/>
      <c r="F166" s="808"/>
    </row>
    <row r="167" spans="1:6" ht="49.5" customHeight="1" x14ac:dyDescent="0.25">
      <c r="A167" s="798"/>
      <c r="B167" s="809"/>
      <c r="C167" s="1013"/>
      <c r="D167" s="1011"/>
      <c r="E167" s="1012"/>
      <c r="F167" s="800"/>
    </row>
    <row r="168" spans="1:6" ht="49.5" customHeight="1" x14ac:dyDescent="0.25">
      <c r="A168" s="806"/>
      <c r="B168" s="807"/>
      <c r="C168" s="1010"/>
      <c r="D168" s="1011"/>
      <c r="E168" s="1012"/>
      <c r="F168" s="808"/>
    </row>
    <row r="169" spans="1:6" ht="49.5" customHeight="1" x14ac:dyDescent="0.25">
      <c r="A169" s="798"/>
      <c r="B169" s="809"/>
      <c r="C169" s="1013"/>
      <c r="D169" s="1011"/>
      <c r="E169" s="1012"/>
      <c r="F169" s="800"/>
    </row>
    <row r="170" spans="1:6" ht="49.5" customHeight="1" x14ac:dyDescent="0.25">
      <c r="A170" s="806"/>
      <c r="B170" s="807"/>
      <c r="C170" s="1010"/>
      <c r="D170" s="1011"/>
      <c r="E170" s="1012"/>
      <c r="F170" s="808"/>
    </row>
    <row r="171" spans="1:6" ht="49.5" customHeight="1" x14ac:dyDescent="0.25">
      <c r="A171" s="798"/>
      <c r="B171" s="809"/>
      <c r="C171" s="1013"/>
      <c r="D171" s="1011"/>
      <c r="E171" s="1012"/>
      <c r="F171" s="800"/>
    </row>
    <row r="172" spans="1:6" ht="49.5" customHeight="1" x14ac:dyDescent="0.25">
      <c r="A172" s="806"/>
      <c r="B172" s="807"/>
      <c r="C172" s="1013"/>
      <c r="D172" s="1011"/>
      <c r="E172" s="1012"/>
      <c r="F172" s="808"/>
    </row>
    <row r="173" spans="1:6" ht="49.5" customHeight="1" x14ac:dyDescent="0.25">
      <c r="A173" s="798"/>
      <c r="B173" s="809"/>
      <c r="C173" s="1013"/>
      <c r="D173" s="1011"/>
      <c r="E173" s="1012"/>
      <c r="F173" s="800"/>
    </row>
    <row r="174" spans="1:6" ht="49.5" customHeight="1" x14ac:dyDescent="0.25">
      <c r="A174" s="806"/>
      <c r="B174" s="807"/>
      <c r="C174" s="1010"/>
      <c r="D174" s="1011"/>
      <c r="E174" s="1012"/>
      <c r="F174" s="800"/>
    </row>
    <row r="175" spans="1:6" ht="49.5" customHeight="1" x14ac:dyDescent="0.25">
      <c r="A175" s="798"/>
      <c r="B175" s="809"/>
      <c r="C175" s="1010"/>
      <c r="D175" s="1011"/>
      <c r="E175" s="1012"/>
      <c r="F175" s="800"/>
    </row>
    <row r="176" spans="1:6" ht="49.5" customHeight="1" x14ac:dyDescent="0.25">
      <c r="A176" s="806"/>
      <c r="B176" s="809"/>
      <c r="C176" s="1010"/>
      <c r="D176" s="1011"/>
      <c r="E176" s="1012"/>
      <c r="F176" s="800"/>
    </row>
    <row r="177" spans="1:6" ht="49.5" customHeight="1" x14ac:dyDescent="0.25">
      <c r="A177" s="798"/>
      <c r="B177" s="809"/>
      <c r="C177" s="1013"/>
      <c r="D177" s="1011"/>
      <c r="E177" s="1012"/>
      <c r="F177" s="800"/>
    </row>
    <row r="178" spans="1:6" ht="49.5" customHeight="1" x14ac:dyDescent="0.25">
      <c r="A178" s="806"/>
      <c r="B178" s="807"/>
      <c r="C178" s="1010"/>
      <c r="D178" s="1011"/>
      <c r="E178" s="1012"/>
      <c r="F178" s="808"/>
    </row>
    <row r="179" spans="1:6" ht="49.5" customHeight="1" x14ac:dyDescent="0.25">
      <c r="A179" s="798"/>
      <c r="B179" s="809"/>
      <c r="C179" s="1013"/>
      <c r="D179" s="1011"/>
      <c r="E179" s="1012"/>
      <c r="F179" s="800"/>
    </row>
    <row r="180" spans="1:6" ht="49.5" customHeight="1" x14ac:dyDescent="0.25">
      <c r="A180" s="806"/>
      <c r="B180" s="807"/>
      <c r="C180" s="1010"/>
      <c r="D180" s="1011"/>
      <c r="E180" s="1012"/>
      <c r="F180" s="808"/>
    </row>
    <row r="181" spans="1:6" ht="49.5" customHeight="1" x14ac:dyDescent="0.25">
      <c r="A181" s="798"/>
      <c r="B181" s="809"/>
      <c r="C181" s="1013"/>
      <c r="D181" s="1011"/>
      <c r="E181" s="1012"/>
      <c r="F181" s="808"/>
    </row>
    <row r="182" spans="1:6" ht="49.5" customHeight="1" x14ac:dyDescent="0.25">
      <c r="A182" s="806"/>
      <c r="B182" s="807"/>
      <c r="C182" s="1010"/>
      <c r="D182" s="1011"/>
      <c r="E182" s="1012"/>
      <c r="F182" s="808"/>
    </row>
    <row r="183" spans="1:6" ht="49.5" customHeight="1" x14ac:dyDescent="0.25">
      <c r="A183" s="798"/>
      <c r="B183" s="809"/>
      <c r="C183" s="1013"/>
      <c r="D183" s="1011"/>
      <c r="E183" s="1012"/>
      <c r="F183" s="800"/>
    </row>
    <row r="184" spans="1:6" ht="49.5" customHeight="1" x14ac:dyDescent="0.25">
      <c r="A184" s="806"/>
      <c r="B184" s="807"/>
      <c r="C184" s="1010"/>
      <c r="D184" s="1011"/>
      <c r="E184" s="1012"/>
      <c r="F184" s="808"/>
    </row>
    <row r="185" spans="1:6" ht="49.5" customHeight="1" x14ac:dyDescent="0.25">
      <c r="A185" s="798"/>
      <c r="B185" s="809"/>
      <c r="C185" s="1013"/>
      <c r="D185" s="1011"/>
      <c r="E185" s="1012"/>
      <c r="F185" s="800"/>
    </row>
    <row r="186" spans="1:6" ht="49.5" customHeight="1" x14ac:dyDescent="0.25">
      <c r="A186" s="806"/>
      <c r="B186" s="807"/>
      <c r="C186" s="1010"/>
      <c r="D186" s="1011"/>
      <c r="E186" s="1012"/>
      <c r="F186" s="808"/>
    </row>
    <row r="187" spans="1:6" ht="49.5" customHeight="1" x14ac:dyDescent="0.25">
      <c r="A187" s="798"/>
      <c r="B187" s="809"/>
      <c r="C187" s="1013"/>
      <c r="D187" s="1011"/>
      <c r="E187" s="1012"/>
      <c r="F187" s="800"/>
    </row>
    <row r="188" spans="1:6" ht="49.5" customHeight="1" x14ac:dyDescent="0.25">
      <c r="A188" s="806"/>
      <c r="B188" s="807"/>
      <c r="C188" s="1010"/>
      <c r="D188" s="1011"/>
      <c r="E188" s="1012"/>
      <c r="F188" s="808"/>
    </row>
    <row r="189" spans="1:6" ht="49.5" customHeight="1" x14ac:dyDescent="0.25">
      <c r="A189" s="798"/>
      <c r="B189" s="809"/>
      <c r="C189" s="1013"/>
      <c r="D189" s="1011"/>
      <c r="E189" s="1012"/>
      <c r="F189" s="800"/>
    </row>
    <row r="190" spans="1:6" ht="49.5" customHeight="1" x14ac:dyDescent="0.25">
      <c r="A190" s="806"/>
      <c r="B190" s="807"/>
      <c r="C190" s="1010"/>
      <c r="D190" s="1011"/>
      <c r="E190" s="1012"/>
      <c r="F190" s="808"/>
    </row>
    <row r="191" spans="1:6" ht="49.5" customHeight="1" x14ac:dyDescent="0.25">
      <c r="A191" s="798"/>
      <c r="B191" s="809"/>
      <c r="C191" s="1013"/>
      <c r="D191" s="1011"/>
      <c r="E191" s="1012"/>
      <c r="F191" s="800"/>
    </row>
    <row r="192" spans="1:6" ht="49.5" customHeight="1" x14ac:dyDescent="0.25">
      <c r="A192" s="806"/>
      <c r="B192" s="807"/>
      <c r="C192" s="1013"/>
      <c r="D192" s="1011"/>
      <c r="E192" s="1012"/>
      <c r="F192" s="800"/>
    </row>
    <row r="193" spans="1:6" ht="49.5" customHeight="1" x14ac:dyDescent="0.25">
      <c r="A193" s="798"/>
      <c r="B193" s="809"/>
      <c r="C193" s="1013"/>
      <c r="D193" s="1011"/>
      <c r="E193" s="1012"/>
      <c r="F193" s="800"/>
    </row>
    <row r="194" spans="1:6" ht="49.5" customHeight="1" x14ac:dyDescent="0.25">
      <c r="A194" s="806"/>
      <c r="B194" s="807"/>
      <c r="C194" s="1010"/>
      <c r="D194" s="1011"/>
      <c r="E194" s="1012"/>
      <c r="F194" s="808"/>
    </row>
    <row r="195" spans="1:6" ht="49.5" customHeight="1" x14ac:dyDescent="0.25">
      <c r="A195" s="798"/>
      <c r="B195" s="809"/>
      <c r="C195" s="1013"/>
      <c r="D195" s="1011"/>
      <c r="E195" s="1012"/>
      <c r="F195" s="800"/>
    </row>
    <row r="196" spans="1:6" ht="49.5" customHeight="1" x14ac:dyDescent="0.25">
      <c r="A196" s="806"/>
      <c r="B196" s="807"/>
      <c r="C196" s="1010"/>
      <c r="D196" s="1011"/>
      <c r="E196" s="1012"/>
      <c r="F196" s="808"/>
    </row>
    <row r="197" spans="1:6" ht="49.5" customHeight="1" x14ac:dyDescent="0.25">
      <c r="A197" s="798"/>
      <c r="B197" s="809"/>
      <c r="C197" s="1013"/>
      <c r="D197" s="1011"/>
      <c r="E197" s="1012"/>
      <c r="F197" s="800"/>
    </row>
    <row r="198" spans="1:6" ht="49.5" customHeight="1" x14ac:dyDescent="0.25">
      <c r="A198" s="806"/>
      <c r="B198" s="807"/>
      <c r="C198" s="1010"/>
      <c r="D198" s="1011"/>
      <c r="E198" s="1012"/>
      <c r="F198" s="808"/>
    </row>
    <row r="199" spans="1:6" ht="49.5" customHeight="1" x14ac:dyDescent="0.25">
      <c r="A199" s="798"/>
      <c r="B199" s="809"/>
      <c r="C199" s="1013"/>
      <c r="D199" s="1011"/>
      <c r="E199" s="1012"/>
      <c r="F199" s="800"/>
    </row>
    <row r="200" spans="1:6" ht="49.5" customHeight="1" x14ac:dyDescent="0.25">
      <c r="A200" s="798"/>
      <c r="B200" s="809"/>
      <c r="C200" s="1013"/>
      <c r="D200" s="1014"/>
      <c r="E200" s="1015"/>
      <c r="F200" s="800"/>
    </row>
    <row r="201" spans="1:6" ht="49.5" customHeight="1" x14ac:dyDescent="0.25">
      <c r="A201" s="806"/>
      <c r="B201" s="807"/>
      <c r="C201" s="1010"/>
      <c r="D201" s="1016"/>
      <c r="E201" s="1017"/>
      <c r="F201" s="808"/>
    </row>
    <row r="202" spans="1:6" ht="49.5" customHeight="1" x14ac:dyDescent="0.25">
      <c r="A202" s="798"/>
      <c r="B202" s="809"/>
      <c r="C202" s="1013"/>
      <c r="D202" s="1014"/>
      <c r="E202" s="1015"/>
      <c r="F202" s="800"/>
    </row>
    <row r="203" spans="1:6" ht="49.5" customHeight="1" x14ac:dyDescent="0.25">
      <c r="A203" s="806"/>
      <c r="B203" s="807"/>
      <c r="C203" s="1010"/>
      <c r="D203" s="1016"/>
      <c r="E203" s="1017"/>
      <c r="F203" s="808"/>
    </row>
    <row r="204" spans="1:6" ht="49.5" customHeight="1" x14ac:dyDescent="0.25">
      <c r="A204" s="798"/>
      <c r="B204" s="809"/>
      <c r="C204" s="1013"/>
      <c r="D204" s="1011"/>
      <c r="E204" s="1012"/>
      <c r="F204" s="800"/>
    </row>
    <row r="205" spans="1:6" ht="49.5" customHeight="1" x14ac:dyDescent="0.25">
      <c r="A205" s="806"/>
      <c r="B205" s="807"/>
      <c r="C205" s="1010"/>
      <c r="D205" s="1011"/>
      <c r="E205" s="1012"/>
      <c r="F205" s="808"/>
    </row>
    <row r="206" spans="1:6" ht="49.5" customHeight="1" x14ac:dyDescent="0.25">
      <c r="A206" s="798"/>
      <c r="B206" s="809"/>
      <c r="C206" s="1013"/>
      <c r="D206" s="1011"/>
      <c r="E206" s="1012"/>
      <c r="F206" s="800"/>
    </row>
    <row r="207" spans="1:6" ht="49.5" customHeight="1" x14ac:dyDescent="0.25">
      <c r="A207" s="806"/>
      <c r="B207" s="807"/>
      <c r="C207" s="1010"/>
      <c r="D207" s="1011"/>
      <c r="E207" s="1012"/>
      <c r="F207" s="808"/>
    </row>
    <row r="208" spans="1:6" ht="49.5" customHeight="1" x14ac:dyDescent="0.25">
      <c r="A208" s="798"/>
      <c r="B208" s="809"/>
      <c r="C208" s="1013"/>
      <c r="D208" s="1011"/>
      <c r="E208" s="1012"/>
      <c r="F208" s="800"/>
    </row>
    <row r="209" spans="1:7" ht="49.5" customHeight="1" x14ac:dyDescent="0.25">
      <c r="A209" s="806"/>
      <c r="B209" s="807"/>
      <c r="C209" s="1010"/>
      <c r="D209" s="1011"/>
      <c r="E209" s="1012"/>
      <c r="F209" s="808"/>
    </row>
    <row r="210" spans="1:7" ht="49.5" customHeight="1" x14ac:dyDescent="0.25">
      <c r="A210" s="798"/>
      <c r="B210" s="809"/>
      <c r="C210" s="1013"/>
      <c r="D210" s="1011"/>
      <c r="E210" s="1012"/>
      <c r="F210" s="810"/>
    </row>
    <row r="211" spans="1:7" ht="49.5" customHeight="1" x14ac:dyDescent="0.25">
      <c r="A211" s="806"/>
      <c r="B211" s="807"/>
      <c r="C211" s="1010"/>
      <c r="D211" s="1011"/>
      <c r="E211" s="1011"/>
      <c r="F211" s="803"/>
      <c r="G211" s="811"/>
    </row>
    <row r="212" spans="1:7" ht="49.5" customHeight="1" x14ac:dyDescent="0.25">
      <c r="A212" s="798"/>
      <c r="B212" s="809"/>
      <c r="C212" s="1013"/>
      <c r="D212" s="1011"/>
      <c r="E212" s="1011"/>
      <c r="F212" s="803"/>
      <c r="G212" s="811"/>
    </row>
    <row r="213" spans="1:7" ht="49.5" customHeight="1" x14ac:dyDescent="0.25">
      <c r="A213" s="806"/>
      <c r="B213" s="807"/>
      <c r="C213" s="1010"/>
      <c r="D213" s="1011"/>
      <c r="E213" s="1012"/>
      <c r="F213" s="815"/>
    </row>
    <row r="214" spans="1:7" ht="49.5" customHeight="1" x14ac:dyDescent="0.25">
      <c r="A214" s="798"/>
      <c r="B214" s="809"/>
      <c r="C214" s="1013"/>
      <c r="D214" s="1011"/>
      <c r="E214" s="1012"/>
      <c r="F214" s="800"/>
    </row>
    <row r="215" spans="1:7" ht="49.5" customHeight="1" x14ac:dyDescent="0.25">
      <c r="A215" s="806"/>
      <c r="B215" s="807"/>
      <c r="C215" s="1010"/>
      <c r="D215" s="1011"/>
      <c r="E215" s="1012"/>
      <c r="F215" s="808"/>
    </row>
    <row r="216" spans="1:7" ht="49.5" customHeight="1" x14ac:dyDescent="0.25">
      <c r="A216" s="798"/>
      <c r="B216" s="809"/>
      <c r="C216" s="1013"/>
      <c r="D216" s="1011"/>
      <c r="E216" s="1012"/>
      <c r="F216" s="800"/>
    </row>
    <row r="217" spans="1:7" ht="49.5" customHeight="1" x14ac:dyDescent="0.25">
      <c r="A217" s="806"/>
      <c r="B217" s="807"/>
      <c r="C217" s="1010"/>
      <c r="D217" s="1011"/>
      <c r="E217" s="1012"/>
      <c r="F217" s="808"/>
    </row>
    <row r="218" spans="1:7" ht="49.5" customHeight="1" x14ac:dyDescent="0.25">
      <c r="A218" s="798"/>
      <c r="B218" s="809"/>
      <c r="C218" s="1013"/>
      <c r="D218" s="1011"/>
      <c r="E218" s="1012"/>
      <c r="F218" s="800"/>
    </row>
    <row r="219" spans="1:7" ht="49.5" customHeight="1" x14ac:dyDescent="0.25">
      <c r="A219" s="806"/>
      <c r="B219" s="807"/>
      <c r="C219" s="1010"/>
      <c r="D219" s="1011"/>
      <c r="E219" s="1012"/>
      <c r="F219" s="808"/>
    </row>
    <row r="220" spans="1:7" ht="49.5" customHeight="1" x14ac:dyDescent="0.25">
      <c r="A220" s="798"/>
      <c r="B220" s="809"/>
      <c r="C220" s="1013"/>
      <c r="D220" s="1011"/>
      <c r="E220" s="1012"/>
      <c r="F220" s="800"/>
    </row>
    <row r="221" spans="1:7" ht="49.5" customHeight="1" x14ac:dyDescent="0.25">
      <c r="A221" s="806"/>
      <c r="B221" s="807"/>
      <c r="C221" s="1010"/>
      <c r="D221" s="1011"/>
      <c r="E221" s="1012"/>
      <c r="F221" s="808"/>
    </row>
    <row r="222" spans="1:7" ht="49.5" customHeight="1" x14ac:dyDescent="0.25">
      <c r="A222" s="798"/>
      <c r="B222" s="809"/>
      <c r="C222" s="1013"/>
      <c r="D222" s="1011"/>
      <c r="E222" s="1012"/>
      <c r="F222" s="800"/>
    </row>
    <row r="223" spans="1:7" ht="49.5" customHeight="1" x14ac:dyDescent="0.25">
      <c r="A223" s="806"/>
      <c r="B223" s="807"/>
      <c r="C223" s="1010"/>
      <c r="D223" s="1011"/>
      <c r="E223" s="1012"/>
      <c r="F223" s="808"/>
    </row>
    <row r="224" spans="1:7" ht="49.5" customHeight="1" x14ac:dyDescent="0.25">
      <c r="A224" s="798"/>
      <c r="B224" s="809"/>
      <c r="C224" s="1013"/>
      <c r="D224" s="1011"/>
      <c r="E224" s="1012"/>
      <c r="F224" s="800"/>
    </row>
    <row r="225" spans="1:6" ht="49.5" customHeight="1" x14ac:dyDescent="0.25">
      <c r="A225" s="806"/>
      <c r="B225" s="807"/>
      <c r="C225" s="1010"/>
      <c r="D225" s="1011"/>
      <c r="E225" s="1012"/>
      <c r="F225" s="808"/>
    </row>
    <row r="226" spans="1:6" ht="15.75" customHeight="1" x14ac:dyDescent="0.25">
      <c r="A226" s="816"/>
      <c r="B226" s="816"/>
      <c r="C226" s="816"/>
      <c r="D226" s="816"/>
      <c r="E226" s="816"/>
      <c r="F226" s="816"/>
    </row>
    <row r="227" spans="1:6" ht="15.75" customHeight="1" x14ac:dyDescent="0.25">
      <c r="A227" s="816"/>
      <c r="B227" s="816"/>
      <c r="C227" s="816"/>
      <c r="D227" s="816"/>
      <c r="E227" s="816"/>
      <c r="F227" s="816"/>
    </row>
    <row r="228" spans="1:6" ht="15.75" customHeight="1" x14ac:dyDescent="0.25">
      <c r="A228" s="816"/>
      <c r="B228" s="816"/>
      <c r="C228" s="816"/>
      <c r="D228" s="816"/>
      <c r="E228" s="816"/>
      <c r="F228" s="816"/>
    </row>
    <row r="229" spans="1:6" ht="15.75" customHeight="1" x14ac:dyDescent="0.25">
      <c r="A229" s="816"/>
      <c r="B229" s="816"/>
      <c r="C229" s="816"/>
      <c r="D229" s="816"/>
      <c r="E229" s="816"/>
      <c r="F229" s="816"/>
    </row>
    <row r="230" spans="1:6" ht="15.75" customHeight="1" x14ac:dyDescent="0.25">
      <c r="A230" s="816"/>
      <c r="B230" s="816"/>
      <c r="C230" s="816"/>
      <c r="D230" s="816"/>
      <c r="E230" s="816"/>
      <c r="F230" s="816"/>
    </row>
    <row r="231" spans="1:6" ht="15.75" customHeight="1" x14ac:dyDescent="0.25">
      <c r="A231" s="816"/>
      <c r="B231" s="816"/>
      <c r="C231" s="816"/>
      <c r="D231" s="816"/>
      <c r="E231" s="816"/>
      <c r="F231" s="816"/>
    </row>
    <row r="232" spans="1:6" ht="15.75" customHeight="1" x14ac:dyDescent="0.25">
      <c r="A232" s="816"/>
      <c r="B232" s="816"/>
      <c r="C232" s="816"/>
      <c r="D232" s="816"/>
      <c r="E232" s="816"/>
      <c r="F232" s="816"/>
    </row>
    <row r="233" spans="1:6" ht="15.75" customHeight="1" x14ac:dyDescent="0.25">
      <c r="A233" s="816"/>
      <c r="B233" s="816"/>
      <c r="C233" s="816"/>
      <c r="D233" s="816"/>
      <c r="E233" s="816"/>
      <c r="F233" s="816"/>
    </row>
    <row r="234" spans="1:6" ht="15.75" customHeight="1" x14ac:dyDescent="0.25">
      <c r="A234" s="816"/>
      <c r="B234" s="816"/>
      <c r="C234" s="816"/>
      <c r="D234" s="816"/>
      <c r="E234" s="816"/>
      <c r="F234" s="816"/>
    </row>
    <row r="235" spans="1:6" ht="15.75" customHeight="1" x14ac:dyDescent="0.25">
      <c r="A235" s="816"/>
      <c r="B235" s="816"/>
      <c r="C235" s="816"/>
      <c r="D235" s="816"/>
      <c r="E235" s="816"/>
      <c r="F235" s="816"/>
    </row>
    <row r="236" spans="1:6" ht="15.75" customHeight="1" x14ac:dyDescent="0.25">
      <c r="A236" s="816"/>
      <c r="B236" s="816"/>
      <c r="C236" s="816"/>
      <c r="D236" s="816"/>
      <c r="E236" s="816"/>
      <c r="F236" s="816"/>
    </row>
    <row r="237" spans="1:6" ht="15.75" customHeight="1" x14ac:dyDescent="0.25">
      <c r="A237" s="816"/>
      <c r="B237" s="816"/>
      <c r="C237" s="816"/>
      <c r="D237" s="816"/>
      <c r="E237" s="816"/>
      <c r="F237" s="816"/>
    </row>
    <row r="238" spans="1:6" ht="15.75" customHeight="1" x14ac:dyDescent="0.25">
      <c r="A238" s="816"/>
      <c r="B238" s="816"/>
      <c r="C238" s="816"/>
      <c r="D238" s="816"/>
      <c r="E238" s="816"/>
      <c r="F238" s="816"/>
    </row>
    <row r="239" spans="1:6" ht="15.75" customHeight="1" x14ac:dyDescent="0.25">
      <c r="A239" s="816"/>
      <c r="B239" s="816"/>
      <c r="C239" s="816"/>
      <c r="D239" s="816"/>
      <c r="E239" s="816"/>
      <c r="F239" s="816"/>
    </row>
    <row r="240" spans="1:6" ht="15.75" customHeight="1" x14ac:dyDescent="0.25">
      <c r="A240" s="816"/>
      <c r="B240" s="816"/>
      <c r="C240" s="816"/>
      <c r="D240" s="816"/>
      <c r="E240" s="816"/>
      <c r="F240" s="816"/>
    </row>
    <row r="241" spans="1:6" ht="15.75" customHeight="1" x14ac:dyDescent="0.25">
      <c r="A241" s="816"/>
      <c r="B241" s="816"/>
      <c r="C241" s="816"/>
      <c r="D241" s="816"/>
      <c r="E241" s="816"/>
      <c r="F241" s="816"/>
    </row>
    <row r="242" spans="1:6" ht="15.75" customHeight="1" x14ac:dyDescent="0.25">
      <c r="A242" s="816"/>
      <c r="B242" s="816"/>
      <c r="C242" s="816"/>
      <c r="D242" s="816"/>
      <c r="E242" s="816"/>
      <c r="F242" s="816"/>
    </row>
    <row r="243" spans="1:6" ht="15.75" customHeight="1" x14ac:dyDescent="0.25">
      <c r="A243" s="816"/>
      <c r="B243" s="816"/>
      <c r="C243" s="816"/>
      <c r="D243" s="816"/>
      <c r="E243" s="816"/>
      <c r="F243" s="816"/>
    </row>
    <row r="244" spans="1:6" ht="15.75" customHeight="1" x14ac:dyDescent="0.25">
      <c r="A244" s="816"/>
      <c r="B244" s="816"/>
      <c r="C244" s="816"/>
      <c r="D244" s="816"/>
      <c r="E244" s="816"/>
      <c r="F244" s="816"/>
    </row>
    <row r="245" spans="1:6" ht="15.75" customHeight="1" x14ac:dyDescent="0.25">
      <c r="A245" s="816"/>
      <c r="B245" s="816"/>
      <c r="C245" s="816"/>
      <c r="D245" s="816"/>
      <c r="E245" s="816"/>
      <c r="F245" s="816"/>
    </row>
    <row r="246" spans="1:6" ht="15.75" customHeight="1" x14ac:dyDescent="0.25">
      <c r="A246" s="816"/>
      <c r="B246" s="816"/>
      <c r="C246" s="816"/>
      <c r="D246" s="816"/>
      <c r="E246" s="816"/>
      <c r="F246" s="816"/>
    </row>
    <row r="247" spans="1:6" ht="15.75" customHeight="1" x14ac:dyDescent="0.25">
      <c r="A247" s="816"/>
      <c r="B247" s="816"/>
      <c r="C247" s="816"/>
      <c r="D247" s="816"/>
      <c r="E247" s="816"/>
      <c r="F247" s="816"/>
    </row>
    <row r="248" spans="1:6" ht="15.75" customHeight="1" x14ac:dyDescent="0.25">
      <c r="A248" s="816"/>
      <c r="B248" s="816"/>
      <c r="C248" s="816"/>
      <c r="D248" s="816"/>
      <c r="E248" s="816"/>
      <c r="F248" s="816"/>
    </row>
    <row r="249" spans="1:6" ht="15.75" customHeight="1" x14ac:dyDescent="0.25">
      <c r="A249" s="816"/>
      <c r="B249" s="816"/>
      <c r="C249" s="816"/>
      <c r="D249" s="816"/>
      <c r="E249" s="816"/>
      <c r="F249" s="816"/>
    </row>
    <row r="250" spans="1:6" ht="15.75" customHeight="1" x14ac:dyDescent="0.25">
      <c r="A250" s="816"/>
      <c r="B250" s="816"/>
      <c r="C250" s="816"/>
      <c r="D250" s="816"/>
      <c r="E250" s="816"/>
      <c r="F250" s="816"/>
    </row>
    <row r="251" spans="1:6" ht="15.75" customHeight="1" x14ac:dyDescent="0.25">
      <c r="A251" s="816"/>
      <c r="B251" s="816"/>
      <c r="C251" s="816"/>
      <c r="D251" s="816"/>
      <c r="E251" s="816"/>
      <c r="F251" s="816"/>
    </row>
    <row r="252" spans="1:6" ht="15.75" customHeight="1" x14ac:dyDescent="0.25">
      <c r="A252" s="816"/>
      <c r="B252" s="816"/>
      <c r="C252" s="816"/>
      <c r="D252" s="816"/>
      <c r="E252" s="816"/>
      <c r="F252" s="816"/>
    </row>
    <row r="253" spans="1:6" ht="15.75" customHeight="1" x14ac:dyDescent="0.25">
      <c r="A253" s="816"/>
      <c r="B253" s="816"/>
      <c r="C253" s="816"/>
      <c r="D253" s="816"/>
      <c r="E253" s="816"/>
      <c r="F253" s="816"/>
    </row>
    <row r="254" spans="1:6" ht="15.75" customHeight="1" x14ac:dyDescent="0.25">
      <c r="A254" s="816"/>
      <c r="B254" s="816"/>
      <c r="C254" s="816"/>
      <c r="D254" s="816"/>
      <c r="E254" s="816"/>
      <c r="F254" s="816"/>
    </row>
    <row r="255" spans="1:6" ht="15.75" customHeight="1" x14ac:dyDescent="0.25">
      <c r="A255" s="816"/>
      <c r="B255" s="816"/>
      <c r="C255" s="816"/>
      <c r="D255" s="816"/>
      <c r="E255" s="816"/>
      <c r="F255" s="816"/>
    </row>
    <row r="256" spans="1:6" ht="15.75" customHeight="1" x14ac:dyDescent="0.25">
      <c r="A256" s="816"/>
      <c r="B256" s="816"/>
      <c r="C256" s="816"/>
      <c r="D256" s="816"/>
      <c r="E256" s="816"/>
      <c r="F256" s="816"/>
    </row>
    <row r="257" spans="1:6" ht="15.75" customHeight="1" x14ac:dyDescent="0.25">
      <c r="A257" s="816"/>
      <c r="B257" s="816"/>
      <c r="C257" s="816"/>
      <c r="D257" s="816"/>
      <c r="E257" s="816"/>
      <c r="F257" s="816"/>
    </row>
    <row r="258" spans="1:6" ht="15.75" customHeight="1" x14ac:dyDescent="0.25">
      <c r="A258" s="816"/>
      <c r="B258" s="816"/>
      <c r="C258" s="816"/>
      <c r="D258" s="816"/>
      <c r="E258" s="816"/>
      <c r="F258" s="816"/>
    </row>
    <row r="259" spans="1:6" ht="15.75" customHeight="1" x14ac:dyDescent="0.25">
      <c r="A259" s="816"/>
      <c r="B259" s="816"/>
      <c r="C259" s="816"/>
      <c r="D259" s="816"/>
      <c r="E259" s="816"/>
      <c r="F259" s="816"/>
    </row>
    <row r="260" spans="1:6" ht="15.75" customHeight="1" x14ac:dyDescent="0.25">
      <c r="A260" s="816"/>
      <c r="B260" s="816"/>
      <c r="C260" s="816"/>
      <c r="D260" s="816"/>
      <c r="E260" s="816"/>
      <c r="F260" s="816"/>
    </row>
    <row r="261" spans="1:6" ht="15.75" customHeight="1" x14ac:dyDescent="0.25">
      <c r="A261" s="816"/>
      <c r="B261" s="816"/>
      <c r="C261" s="816"/>
      <c r="D261" s="816"/>
      <c r="E261" s="816"/>
      <c r="F261" s="816"/>
    </row>
    <row r="262" spans="1:6" ht="15.75" customHeight="1" x14ac:dyDescent="0.25">
      <c r="A262" s="816"/>
      <c r="B262" s="816"/>
      <c r="C262" s="816"/>
      <c r="D262" s="816"/>
      <c r="E262" s="816"/>
      <c r="F262" s="816"/>
    </row>
    <row r="263" spans="1:6" ht="15.75" customHeight="1" x14ac:dyDescent="0.25">
      <c r="A263" s="816"/>
      <c r="B263" s="816"/>
      <c r="C263" s="816"/>
      <c r="D263" s="816"/>
      <c r="E263" s="816"/>
      <c r="F263" s="816"/>
    </row>
    <row r="264" spans="1:6" ht="15.75" customHeight="1" x14ac:dyDescent="0.25">
      <c r="A264" s="816"/>
      <c r="B264" s="816"/>
      <c r="C264" s="816"/>
      <c r="D264" s="816"/>
      <c r="E264" s="816"/>
      <c r="F264" s="816"/>
    </row>
    <row r="265" spans="1:6" ht="15.75" customHeight="1" x14ac:dyDescent="0.25">
      <c r="A265" s="816"/>
      <c r="B265" s="816"/>
      <c r="C265" s="816"/>
      <c r="D265" s="816"/>
      <c r="E265" s="816"/>
      <c r="F265" s="816"/>
    </row>
    <row r="266" spans="1:6" ht="15.75" customHeight="1" x14ac:dyDescent="0.25">
      <c r="A266" s="816"/>
      <c r="B266" s="816"/>
      <c r="C266" s="816"/>
      <c r="D266" s="816"/>
      <c r="E266" s="816"/>
      <c r="F266" s="816"/>
    </row>
    <row r="267" spans="1:6" ht="15.75" customHeight="1" x14ac:dyDescent="0.25">
      <c r="A267" s="816"/>
      <c r="B267" s="816"/>
      <c r="C267" s="816"/>
      <c r="D267" s="816"/>
      <c r="E267" s="816"/>
      <c r="F267" s="816"/>
    </row>
    <row r="268" spans="1:6" ht="15.75" customHeight="1" x14ac:dyDescent="0.25">
      <c r="A268" s="816"/>
      <c r="B268" s="816"/>
      <c r="C268" s="816"/>
      <c r="D268" s="816"/>
      <c r="E268" s="816"/>
      <c r="F268" s="816"/>
    </row>
    <row r="269" spans="1:6" ht="15.75" customHeight="1" x14ac:dyDescent="0.25">
      <c r="A269" s="816"/>
      <c r="B269" s="816"/>
      <c r="C269" s="816"/>
      <c r="D269" s="816"/>
      <c r="E269" s="816"/>
      <c r="F269" s="816"/>
    </row>
    <row r="270" spans="1:6" ht="15.75" customHeight="1" x14ac:dyDescent="0.25">
      <c r="A270" s="816"/>
      <c r="B270" s="816"/>
      <c r="C270" s="816"/>
      <c r="D270" s="816"/>
      <c r="E270" s="816"/>
      <c r="F270" s="816"/>
    </row>
    <row r="271" spans="1:6" ht="15.75" customHeight="1" x14ac:dyDescent="0.25">
      <c r="A271" s="816"/>
      <c r="B271" s="816"/>
      <c r="C271" s="816"/>
      <c r="D271" s="816"/>
      <c r="E271" s="816"/>
      <c r="F271" s="816"/>
    </row>
    <row r="272" spans="1:6" ht="15.75" customHeight="1" x14ac:dyDescent="0.25">
      <c r="A272" s="816"/>
      <c r="B272" s="816"/>
      <c r="C272" s="816"/>
      <c r="D272" s="816"/>
      <c r="E272" s="816"/>
      <c r="F272" s="816"/>
    </row>
    <row r="273" spans="1:6" ht="15.75" customHeight="1" x14ac:dyDescent="0.25">
      <c r="A273" s="816"/>
      <c r="B273" s="816"/>
      <c r="C273" s="816"/>
      <c r="D273" s="816"/>
      <c r="E273" s="816"/>
      <c r="F273" s="816"/>
    </row>
    <row r="274" spans="1:6" ht="15.75" customHeight="1" x14ac:dyDescent="0.25">
      <c r="A274" s="816"/>
      <c r="B274" s="816"/>
      <c r="C274" s="816"/>
      <c r="D274" s="816"/>
      <c r="E274" s="816"/>
      <c r="F274" s="816"/>
    </row>
    <row r="275" spans="1:6" ht="15.75" customHeight="1" x14ac:dyDescent="0.25">
      <c r="A275" s="816"/>
      <c r="B275" s="816"/>
      <c r="C275" s="816"/>
      <c r="D275" s="816"/>
      <c r="E275" s="816"/>
      <c r="F275" s="816"/>
    </row>
    <row r="276" spans="1:6" ht="15.75" customHeight="1" x14ac:dyDescent="0.25">
      <c r="A276" s="816"/>
      <c r="B276" s="816"/>
      <c r="C276" s="816"/>
      <c r="D276" s="816"/>
      <c r="E276" s="816"/>
      <c r="F276" s="816"/>
    </row>
    <row r="277" spans="1:6" ht="15.75" customHeight="1" x14ac:dyDescent="0.25">
      <c r="A277" s="816"/>
      <c r="B277" s="816"/>
      <c r="C277" s="816"/>
      <c r="D277" s="816"/>
      <c r="E277" s="816"/>
      <c r="F277" s="816"/>
    </row>
    <row r="278" spans="1:6" ht="15.75" customHeight="1" x14ac:dyDescent="0.25">
      <c r="A278" s="816"/>
      <c r="B278" s="816"/>
      <c r="C278" s="816"/>
      <c r="D278" s="816"/>
      <c r="E278" s="816"/>
      <c r="F278" s="816"/>
    </row>
    <row r="279" spans="1:6" ht="15.75" customHeight="1" x14ac:dyDescent="0.25">
      <c r="A279" s="816"/>
      <c r="B279" s="816"/>
      <c r="C279" s="816"/>
      <c r="D279" s="816"/>
      <c r="E279" s="816"/>
      <c r="F279" s="816"/>
    </row>
    <row r="280" spans="1:6" ht="15.75" customHeight="1" x14ac:dyDescent="0.25">
      <c r="A280" s="816"/>
      <c r="B280" s="816"/>
      <c r="C280" s="816"/>
      <c r="D280" s="816"/>
      <c r="E280" s="816"/>
      <c r="F280" s="816"/>
    </row>
    <row r="281" spans="1:6" ht="15.75" customHeight="1" x14ac:dyDescent="0.25">
      <c r="A281" s="816"/>
      <c r="B281" s="816"/>
      <c r="C281" s="816"/>
      <c r="D281" s="816"/>
      <c r="E281" s="816"/>
      <c r="F281" s="816"/>
    </row>
    <row r="282" spans="1:6" ht="15.75" customHeight="1" x14ac:dyDescent="0.25">
      <c r="A282" s="816"/>
      <c r="B282" s="816"/>
      <c r="C282" s="816"/>
      <c r="D282" s="816"/>
      <c r="E282" s="816"/>
      <c r="F282" s="816"/>
    </row>
    <row r="283" spans="1:6" ht="15.75" customHeight="1" x14ac:dyDescent="0.25">
      <c r="A283" s="816"/>
      <c r="B283" s="816"/>
      <c r="C283" s="816"/>
      <c r="D283" s="816"/>
      <c r="E283" s="816"/>
      <c r="F283" s="816"/>
    </row>
    <row r="284" spans="1:6" ht="15.75" customHeight="1" x14ac:dyDescent="0.25">
      <c r="A284" s="816"/>
      <c r="B284" s="816"/>
      <c r="C284" s="816"/>
      <c r="D284" s="816"/>
      <c r="E284" s="816"/>
      <c r="F284" s="816"/>
    </row>
    <row r="285" spans="1:6" ht="15.75" customHeight="1" x14ac:dyDescent="0.25">
      <c r="A285" s="816"/>
      <c r="B285" s="816"/>
      <c r="C285" s="816"/>
      <c r="D285" s="816"/>
      <c r="E285" s="816"/>
      <c r="F285" s="816"/>
    </row>
    <row r="286" spans="1:6" ht="15.75" customHeight="1" x14ac:dyDescent="0.25">
      <c r="A286" s="816"/>
      <c r="B286" s="816"/>
      <c r="C286" s="816"/>
      <c r="D286" s="816"/>
      <c r="E286" s="816"/>
      <c r="F286" s="816"/>
    </row>
    <row r="287" spans="1:6" ht="15.75" customHeight="1" x14ac:dyDescent="0.25">
      <c r="A287" s="816"/>
      <c r="B287" s="816"/>
      <c r="C287" s="816"/>
      <c r="D287" s="816"/>
      <c r="E287" s="816"/>
      <c r="F287" s="816"/>
    </row>
    <row r="288" spans="1:6" ht="15.75" customHeight="1" x14ac:dyDescent="0.25">
      <c r="A288" s="816"/>
      <c r="B288" s="816"/>
      <c r="C288" s="816"/>
      <c r="D288" s="816"/>
      <c r="E288" s="816"/>
      <c r="F288" s="816"/>
    </row>
    <row r="289" spans="1:6" ht="15.75" customHeight="1" x14ac:dyDescent="0.25">
      <c r="A289" s="816"/>
      <c r="B289" s="816"/>
      <c r="C289" s="816"/>
      <c r="D289" s="816"/>
      <c r="E289" s="816"/>
      <c r="F289" s="816"/>
    </row>
    <row r="290" spans="1:6" ht="15.75" customHeight="1" x14ac:dyDescent="0.25"/>
    <row r="291" spans="1:6" ht="15.75" customHeight="1" x14ac:dyDescent="0.25"/>
    <row r="292" spans="1:6" ht="15.75" customHeight="1" x14ac:dyDescent="0.25"/>
    <row r="293" spans="1:6" ht="15.75" customHeight="1" x14ac:dyDescent="0.25"/>
    <row r="294" spans="1:6" ht="15.75" customHeight="1" x14ac:dyDescent="0.25"/>
    <row r="295" spans="1:6" ht="15.75" customHeight="1" x14ac:dyDescent="0.25"/>
    <row r="296" spans="1:6" ht="15.75" customHeight="1" x14ac:dyDescent="0.25"/>
    <row r="297" spans="1:6" ht="15.75" customHeight="1" x14ac:dyDescent="0.25"/>
    <row r="298" spans="1:6" ht="15.75" customHeight="1" x14ac:dyDescent="0.25"/>
    <row r="299" spans="1:6" ht="15.75" customHeight="1" x14ac:dyDescent="0.25"/>
    <row r="300" spans="1:6" ht="15.75" customHeight="1" x14ac:dyDescent="0.25"/>
    <row r="301" spans="1:6" ht="15.75" customHeight="1" x14ac:dyDescent="0.25"/>
    <row r="302" spans="1:6" ht="15.75" customHeight="1" x14ac:dyDescent="0.25"/>
    <row r="303" spans="1:6" ht="15.75" customHeight="1" x14ac:dyDescent="0.25"/>
    <row r="304" spans="1:6"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sheetData>
  <sheetProtection algorithmName="SHA-512" hashValue="eH0D9QkWMtVnYr/6JtbMXupmA0+tsiZw4Y3Mu2PiY/bgq1+wh+J7trCTnfc2fy3bOMbiYm5ZsGBh+hFpCnK8OQ==" saltValue="CKdY+0dP8wJxWeTH8raOHw==" spinCount="100000" sheet="1" objects="1" scenarios="1"/>
  <mergeCells count="225">
    <mergeCell ref="C7:E7"/>
    <mergeCell ref="C8:E8"/>
    <mergeCell ref="C9:E9"/>
    <mergeCell ref="C10:E10"/>
    <mergeCell ref="C11:E11"/>
    <mergeCell ref="C12:E12"/>
    <mergeCell ref="A1:F1"/>
    <mergeCell ref="C2:E2"/>
    <mergeCell ref="C3:E3"/>
    <mergeCell ref="C4:E4"/>
    <mergeCell ref="C5:E5"/>
    <mergeCell ref="C6:E6"/>
    <mergeCell ref="C19:E19"/>
    <mergeCell ref="C20:E20"/>
    <mergeCell ref="C21:E21"/>
    <mergeCell ref="C22:E22"/>
    <mergeCell ref="C23:E23"/>
    <mergeCell ref="C24:E24"/>
    <mergeCell ref="C13:E13"/>
    <mergeCell ref="C14:E14"/>
    <mergeCell ref="C15:E15"/>
    <mergeCell ref="C16:E16"/>
    <mergeCell ref="C17:E17"/>
    <mergeCell ref="C18:E18"/>
    <mergeCell ref="C31:E31"/>
    <mergeCell ref="C32:E32"/>
    <mergeCell ref="C33:E33"/>
    <mergeCell ref="C34:E34"/>
    <mergeCell ref="C35:E35"/>
    <mergeCell ref="C36:E36"/>
    <mergeCell ref="C25:E25"/>
    <mergeCell ref="C26:E26"/>
    <mergeCell ref="C27:E27"/>
    <mergeCell ref="C28:E28"/>
    <mergeCell ref="C29:E29"/>
    <mergeCell ref="C30:E30"/>
    <mergeCell ref="C43:E43"/>
    <mergeCell ref="C44:E44"/>
    <mergeCell ref="C45:E45"/>
    <mergeCell ref="C46:E46"/>
    <mergeCell ref="C47:E47"/>
    <mergeCell ref="C48:E48"/>
    <mergeCell ref="C37:E37"/>
    <mergeCell ref="C38:E38"/>
    <mergeCell ref="C39:E39"/>
    <mergeCell ref="C40:E40"/>
    <mergeCell ref="C41:E41"/>
    <mergeCell ref="C42:E42"/>
    <mergeCell ref="C55:E55"/>
    <mergeCell ref="C56:E56"/>
    <mergeCell ref="C57:E57"/>
    <mergeCell ref="C58:E58"/>
    <mergeCell ref="C59:E59"/>
    <mergeCell ref="C60:E60"/>
    <mergeCell ref="C49:E49"/>
    <mergeCell ref="C50:E50"/>
    <mergeCell ref="C51:E51"/>
    <mergeCell ref="C52:E52"/>
    <mergeCell ref="C53:E53"/>
    <mergeCell ref="C54:E54"/>
    <mergeCell ref="C67:E67"/>
    <mergeCell ref="C68:E68"/>
    <mergeCell ref="C69:E69"/>
    <mergeCell ref="C70:E70"/>
    <mergeCell ref="C71:E71"/>
    <mergeCell ref="C72:E72"/>
    <mergeCell ref="C61:E61"/>
    <mergeCell ref="C62:E62"/>
    <mergeCell ref="C63:E63"/>
    <mergeCell ref="C64:E64"/>
    <mergeCell ref="C65:E65"/>
    <mergeCell ref="C66:E66"/>
    <mergeCell ref="C79:E79"/>
    <mergeCell ref="C80:E80"/>
    <mergeCell ref="C81:E81"/>
    <mergeCell ref="C82:E82"/>
    <mergeCell ref="C83:E83"/>
    <mergeCell ref="C84:E84"/>
    <mergeCell ref="C73:E73"/>
    <mergeCell ref="C74:E74"/>
    <mergeCell ref="C75:E75"/>
    <mergeCell ref="C76:E76"/>
    <mergeCell ref="C77:E77"/>
    <mergeCell ref="C78:E78"/>
    <mergeCell ref="C91:E91"/>
    <mergeCell ref="C92:E92"/>
    <mergeCell ref="C93:E93"/>
    <mergeCell ref="C94:E94"/>
    <mergeCell ref="C95:E95"/>
    <mergeCell ref="C96:E96"/>
    <mergeCell ref="C85:E85"/>
    <mergeCell ref="C86:E86"/>
    <mergeCell ref="C87:E87"/>
    <mergeCell ref="C88:E88"/>
    <mergeCell ref="C89:E89"/>
    <mergeCell ref="C90:E90"/>
    <mergeCell ref="C103:E103"/>
    <mergeCell ref="C104:E104"/>
    <mergeCell ref="C105:E105"/>
    <mergeCell ref="C106:E106"/>
    <mergeCell ref="C107:E107"/>
    <mergeCell ref="C108:E108"/>
    <mergeCell ref="C97:E97"/>
    <mergeCell ref="C98:E98"/>
    <mergeCell ref="C99:E99"/>
    <mergeCell ref="C100:E100"/>
    <mergeCell ref="C101:E101"/>
    <mergeCell ref="C102:E102"/>
    <mergeCell ref="C115:E115"/>
    <mergeCell ref="C116:E116"/>
    <mergeCell ref="C117:E117"/>
    <mergeCell ref="C118:E118"/>
    <mergeCell ref="C119:E119"/>
    <mergeCell ref="C120:E120"/>
    <mergeCell ref="C109:E109"/>
    <mergeCell ref="C110:E110"/>
    <mergeCell ref="C111:E111"/>
    <mergeCell ref="C112:E112"/>
    <mergeCell ref="C113:E113"/>
    <mergeCell ref="C114:E114"/>
    <mergeCell ref="C127:E127"/>
    <mergeCell ref="C128:E128"/>
    <mergeCell ref="C129:E129"/>
    <mergeCell ref="C130:E130"/>
    <mergeCell ref="C131:E131"/>
    <mergeCell ref="C132:E132"/>
    <mergeCell ref="C121:E121"/>
    <mergeCell ref="C122:E122"/>
    <mergeCell ref="C123:E123"/>
    <mergeCell ref="C124:E124"/>
    <mergeCell ref="C125:E125"/>
    <mergeCell ref="C126:E126"/>
    <mergeCell ref="C139:E139"/>
    <mergeCell ref="C140:E140"/>
    <mergeCell ref="C141:E141"/>
    <mergeCell ref="C142:E142"/>
    <mergeCell ref="C143:E143"/>
    <mergeCell ref="C144:E144"/>
    <mergeCell ref="C133:E133"/>
    <mergeCell ref="C134:E134"/>
    <mergeCell ref="C135:E135"/>
    <mergeCell ref="C136:E136"/>
    <mergeCell ref="C137:E137"/>
    <mergeCell ref="C138:E138"/>
    <mergeCell ref="C151:E151"/>
    <mergeCell ref="C152:E152"/>
    <mergeCell ref="C153:E153"/>
    <mergeCell ref="C154:E154"/>
    <mergeCell ref="C155:E155"/>
    <mergeCell ref="C156:E156"/>
    <mergeCell ref="C145:E145"/>
    <mergeCell ref="C146:E146"/>
    <mergeCell ref="C147:E147"/>
    <mergeCell ref="C148:E148"/>
    <mergeCell ref="C149:E149"/>
    <mergeCell ref="C150:E150"/>
    <mergeCell ref="C163:E163"/>
    <mergeCell ref="C164:E164"/>
    <mergeCell ref="C165:E165"/>
    <mergeCell ref="C166:E166"/>
    <mergeCell ref="C167:E167"/>
    <mergeCell ref="C168:E168"/>
    <mergeCell ref="C157:E157"/>
    <mergeCell ref="C158:E158"/>
    <mergeCell ref="C159:E159"/>
    <mergeCell ref="C160:E160"/>
    <mergeCell ref="C161:E161"/>
    <mergeCell ref="C162:E162"/>
    <mergeCell ref="C175:E175"/>
    <mergeCell ref="C176:E176"/>
    <mergeCell ref="C177:E177"/>
    <mergeCell ref="C178:E178"/>
    <mergeCell ref="C179:E179"/>
    <mergeCell ref="C180:E180"/>
    <mergeCell ref="C169:E169"/>
    <mergeCell ref="C170:E170"/>
    <mergeCell ref="C171:E171"/>
    <mergeCell ref="C172:E172"/>
    <mergeCell ref="C173:E173"/>
    <mergeCell ref="C174:E174"/>
    <mergeCell ref="C187:E187"/>
    <mergeCell ref="C188:E188"/>
    <mergeCell ref="C189:E189"/>
    <mergeCell ref="C190:E190"/>
    <mergeCell ref="C191:E191"/>
    <mergeCell ref="C192:E192"/>
    <mergeCell ref="C181:E181"/>
    <mergeCell ref="C182:E182"/>
    <mergeCell ref="C183:E183"/>
    <mergeCell ref="C184:E184"/>
    <mergeCell ref="C185:E185"/>
    <mergeCell ref="C186:E186"/>
    <mergeCell ref="C199:E199"/>
    <mergeCell ref="C200:E200"/>
    <mergeCell ref="C201:E201"/>
    <mergeCell ref="C202:E202"/>
    <mergeCell ref="C203:E203"/>
    <mergeCell ref="C204:E204"/>
    <mergeCell ref="C193:E193"/>
    <mergeCell ref="C194:E194"/>
    <mergeCell ref="C195:E195"/>
    <mergeCell ref="C196:E196"/>
    <mergeCell ref="C197:E197"/>
    <mergeCell ref="C198:E198"/>
    <mergeCell ref="C211:E211"/>
    <mergeCell ref="C212:E212"/>
    <mergeCell ref="C213:E213"/>
    <mergeCell ref="C214:E214"/>
    <mergeCell ref="C215:E215"/>
    <mergeCell ref="C216:E216"/>
    <mergeCell ref="C205:E205"/>
    <mergeCell ref="C206:E206"/>
    <mergeCell ref="C207:E207"/>
    <mergeCell ref="C208:E208"/>
    <mergeCell ref="C209:E209"/>
    <mergeCell ref="C210:E210"/>
    <mergeCell ref="C223:E223"/>
    <mergeCell ref="C224:E224"/>
    <mergeCell ref="C225:E225"/>
    <mergeCell ref="C217:E217"/>
    <mergeCell ref="C218:E218"/>
    <mergeCell ref="C219:E219"/>
    <mergeCell ref="C220:E220"/>
    <mergeCell ref="C221:E221"/>
    <mergeCell ref="C222:E222"/>
  </mergeCells>
  <conditionalFormatting sqref="B3:B225">
    <cfRule type="expression" dxfId="35" priority="1">
      <formula>$B3="Other (list in Note Section)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BEE3-A706-47C9-8C85-E4EB353C321D}">
  <dimension ref="A1:A50"/>
  <sheetViews>
    <sheetView workbookViewId="0">
      <selection activeCell="A2" sqref="A2"/>
    </sheetView>
  </sheetViews>
  <sheetFormatPr defaultRowHeight="15" x14ac:dyDescent="0.25"/>
  <cols>
    <col min="1" max="1" width="210.42578125" customWidth="1"/>
  </cols>
  <sheetData>
    <row r="1" spans="1:1" ht="30" customHeight="1" x14ac:dyDescent="0.25">
      <c r="A1" s="770" t="s">
        <v>846</v>
      </c>
    </row>
    <row r="2" spans="1:1" ht="30" customHeight="1" x14ac:dyDescent="0.25">
      <c r="A2" s="771" t="s">
        <v>845</v>
      </c>
    </row>
    <row r="3" spans="1:1" ht="30" customHeight="1" x14ac:dyDescent="0.25">
      <c r="A3" s="772" t="s">
        <v>827</v>
      </c>
    </row>
    <row r="4" spans="1:1" ht="30" customHeight="1" x14ac:dyDescent="0.25">
      <c r="A4" s="772" t="s">
        <v>828</v>
      </c>
    </row>
    <row r="5" spans="1:1" ht="30" customHeight="1" x14ac:dyDescent="0.25">
      <c r="A5" s="771" t="s">
        <v>847</v>
      </c>
    </row>
    <row r="6" spans="1:1" ht="30" customHeight="1" x14ac:dyDescent="0.25">
      <c r="A6" s="772" t="s">
        <v>829</v>
      </c>
    </row>
    <row r="7" spans="1:1" ht="30" customHeight="1" x14ac:dyDescent="0.25">
      <c r="A7" s="772" t="s">
        <v>830</v>
      </c>
    </row>
    <row r="8" spans="1:1" ht="30" customHeight="1" x14ac:dyDescent="0.25">
      <c r="A8" s="772" t="s">
        <v>831</v>
      </c>
    </row>
    <row r="9" spans="1:1" ht="30" customHeight="1" x14ac:dyDescent="0.25">
      <c r="A9" s="771" t="s">
        <v>848</v>
      </c>
    </row>
    <row r="10" spans="1:1" ht="30" customHeight="1" x14ac:dyDescent="0.25">
      <c r="A10" s="772" t="s">
        <v>832</v>
      </c>
    </row>
    <row r="11" spans="1:1" ht="30" customHeight="1" x14ac:dyDescent="0.25">
      <c r="A11" s="772" t="s">
        <v>833</v>
      </c>
    </row>
    <row r="12" spans="1:1" ht="30" customHeight="1" x14ac:dyDescent="0.25">
      <c r="A12" s="772" t="s">
        <v>834</v>
      </c>
    </row>
    <row r="13" spans="1:1" ht="30" customHeight="1" x14ac:dyDescent="0.25">
      <c r="A13" s="772" t="s">
        <v>835</v>
      </c>
    </row>
    <row r="14" spans="1:1" ht="30" customHeight="1" x14ac:dyDescent="0.25">
      <c r="A14" s="772" t="s">
        <v>836</v>
      </c>
    </row>
    <row r="15" spans="1:1" ht="45" customHeight="1" x14ac:dyDescent="0.25">
      <c r="A15" s="772" t="s">
        <v>837</v>
      </c>
    </row>
    <row r="16" spans="1:1" ht="30" customHeight="1" x14ac:dyDescent="0.25">
      <c r="A16" s="772" t="s">
        <v>838</v>
      </c>
    </row>
    <row r="17" spans="1:1" ht="30" customHeight="1" x14ac:dyDescent="0.25">
      <c r="A17" s="772" t="s">
        <v>839</v>
      </c>
    </row>
    <row r="18" spans="1:1" ht="30" customHeight="1" x14ac:dyDescent="0.25">
      <c r="A18" s="771" t="s">
        <v>849</v>
      </c>
    </row>
    <row r="19" spans="1:1" ht="30" customHeight="1" x14ac:dyDescent="0.25">
      <c r="A19" s="772" t="s">
        <v>840</v>
      </c>
    </row>
    <row r="20" spans="1:1" ht="30" customHeight="1" x14ac:dyDescent="0.25">
      <c r="A20" s="772" t="s">
        <v>841</v>
      </c>
    </row>
    <row r="21" spans="1:1" ht="30" customHeight="1" x14ac:dyDescent="0.25">
      <c r="A21" s="772" t="s">
        <v>842</v>
      </c>
    </row>
    <row r="22" spans="1:1" ht="30" customHeight="1" x14ac:dyDescent="0.25">
      <c r="A22" s="772" t="s">
        <v>843</v>
      </c>
    </row>
    <row r="23" spans="1:1" ht="30" customHeight="1" x14ac:dyDescent="0.25">
      <c r="A23" s="772" t="s">
        <v>844</v>
      </c>
    </row>
    <row r="24" spans="1:1" ht="30" customHeight="1" x14ac:dyDescent="0.25">
      <c r="A24" s="771" t="s">
        <v>850</v>
      </c>
    </row>
    <row r="25" spans="1:1" ht="30" customHeight="1" x14ac:dyDescent="0.25">
      <c r="A25" s="771" t="s">
        <v>851</v>
      </c>
    </row>
    <row r="26" spans="1:1" ht="30" customHeight="1" x14ac:dyDescent="0.25">
      <c r="A26" s="771" t="s">
        <v>852</v>
      </c>
    </row>
    <row r="27" spans="1:1" ht="20.100000000000001" customHeight="1" x14ac:dyDescent="0.25">
      <c r="A27" s="769"/>
    </row>
    <row r="28" spans="1:1" ht="20.100000000000001" customHeight="1" x14ac:dyDescent="0.25"/>
    <row r="29" spans="1:1" ht="20.100000000000001" customHeight="1" x14ac:dyDescent="0.25"/>
    <row r="30" spans="1:1" ht="20.100000000000001" customHeight="1" x14ac:dyDescent="0.25"/>
    <row r="31" spans="1:1" ht="20.100000000000001" customHeight="1" x14ac:dyDescent="0.25"/>
    <row r="32" spans="1:1" ht="20.100000000000001" customHeight="1" x14ac:dyDescent="0.25"/>
    <row r="33" ht="20.100000000000001" customHeight="1" x14ac:dyDescent="0.25"/>
    <row r="34" ht="20.100000000000001" customHeight="1" x14ac:dyDescent="0.25"/>
    <row r="35" ht="20.100000000000001" customHeight="1" x14ac:dyDescent="0.25"/>
    <row r="36" ht="20.100000000000001" customHeight="1" x14ac:dyDescent="0.25"/>
    <row r="37" ht="20.100000000000001" customHeight="1" x14ac:dyDescent="0.25"/>
    <row r="38" ht="20.100000000000001" customHeight="1" x14ac:dyDescent="0.25"/>
    <row r="39" ht="20.100000000000001" customHeight="1" x14ac:dyDescent="0.25"/>
    <row r="40" ht="20.100000000000001" customHeight="1" x14ac:dyDescent="0.25"/>
    <row r="41" ht="20.100000000000001" customHeight="1" x14ac:dyDescent="0.25"/>
    <row r="42" ht="20.100000000000001" customHeight="1" x14ac:dyDescent="0.25"/>
    <row r="43" ht="20.100000000000001" customHeight="1" x14ac:dyDescent="0.25"/>
    <row r="44" ht="20.100000000000001" customHeight="1" x14ac:dyDescent="0.25"/>
    <row r="45" ht="20.100000000000001" customHeight="1" x14ac:dyDescent="0.25"/>
    <row r="46" ht="20.100000000000001" customHeight="1" x14ac:dyDescent="0.25"/>
    <row r="47" ht="20.100000000000001" customHeight="1" x14ac:dyDescent="0.25"/>
    <row r="48" ht="20.100000000000001" customHeight="1" x14ac:dyDescent="0.25"/>
    <row r="49" ht="20.100000000000001" customHeight="1" x14ac:dyDescent="0.25"/>
    <row r="50" ht="20.100000000000001" customHeight="1"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vt:i4>
      </vt:variant>
    </vt:vector>
  </HeadingPairs>
  <TitlesOfParts>
    <vt:vector size="28" baseType="lpstr">
      <vt:lpstr>INSTRUCTIONS</vt:lpstr>
      <vt:lpstr>BASE GRANTEE INFO &amp; UPDATES</vt:lpstr>
      <vt:lpstr>PROGRAM PROGRESS MONTHLY REPORT</vt:lpstr>
      <vt:lpstr>60 DAY PLAN WITH TIME LINE</vt:lpstr>
      <vt:lpstr>CADCA</vt:lpstr>
      <vt:lpstr>Activities for CADCA</vt:lpstr>
      <vt:lpstr>Teen Court</vt:lpstr>
      <vt:lpstr>Activites for Teen Court</vt:lpstr>
      <vt:lpstr>Sheet1</vt:lpstr>
      <vt:lpstr>2DEMOGRAPHICS</vt:lpstr>
      <vt:lpstr>4SCREENING -LINKAGE TO TX</vt:lpstr>
      <vt:lpstr>5Followup GPRA FOR FAST</vt:lpstr>
      <vt:lpstr>Sheet19</vt:lpstr>
      <vt:lpstr> 3SCREENING EVIDENCED BASED TX</vt:lpstr>
      <vt:lpstr> 4CLIENT ACTIVITY - DISCHARGES</vt:lpstr>
      <vt:lpstr>PRSS</vt:lpstr>
      <vt:lpstr>3MOUD STIMULANTS</vt:lpstr>
      <vt:lpstr>Followup NOMS</vt:lpstr>
      <vt:lpstr>5Followup GPRA</vt:lpstr>
      <vt:lpstr>5Followup OUD Meth</vt:lpstr>
      <vt:lpstr>6Evidence Based Training</vt:lpstr>
      <vt:lpstr>6TRAINING </vt:lpstr>
      <vt:lpstr>MEETINGS ACTIVITIES EVENTS</vt:lpstr>
      <vt:lpstr>7Naloxone Kits Distributed</vt:lpstr>
      <vt:lpstr>8SUMMARY</vt:lpstr>
      <vt:lpstr>Pick List </vt:lpstr>
      <vt:lpstr>2222222</vt:lpstr>
      <vt:lpstr>Sheet1!_Hlk510791888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cp:lastPrinted>2020-08-03T21:14:45Z</cp:lastPrinted>
  <dcterms:created xsi:type="dcterms:W3CDTF">2020-07-24T15:56:15Z</dcterms:created>
  <dcterms:modified xsi:type="dcterms:W3CDTF">2024-12-04T16:24:37Z</dcterms:modified>
</cp:coreProperties>
</file>