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082908\Desktop\Current Website Docs\Grantee Report Forms by SOW\SOR\FY 25\"/>
    </mc:Choice>
  </mc:AlternateContent>
  <xr:revisionPtr revIDLastSave="0" documentId="8_{7F4128AD-EDDA-405F-A5DD-1A85CFEC7236}" xr6:coauthVersionLast="47" xr6:coauthVersionMax="47" xr10:uidLastSave="{00000000-0000-0000-0000-000000000000}"/>
  <bookViews>
    <workbookView xWindow="-120" yWindow="-120" windowWidth="24240" windowHeight="13140" xr2:uid="{00000000-000D-0000-FFFF-FFFF00000000}"/>
  </bookViews>
  <sheets>
    <sheet name="BASE GRANTEE INFO &amp; UPDATES" sheetId="2" r:id="rId1"/>
    <sheet name="PROGRAM PROGRESS MONTHLY REPORT" sheetId="3" state="hidden" r:id="rId2"/>
    <sheet name="MONTHLY PROGRESS" sheetId="4" state="hidden" r:id="rId3"/>
    <sheet name="2GENERAL PROGRAM INFORMATION" sheetId="6" state="hidden" r:id="rId4"/>
    <sheet name="3SUMMARY" sheetId="7" state="hidden" r:id="rId5"/>
    <sheet name="Sheet1" sheetId="8" state="hidden" r:id="rId6"/>
    <sheet name="4SCREENING -LINKAGE TO TX" sheetId="10" state="hidden" r:id="rId7"/>
    <sheet name="5Followup GPRA FOR FAST" sheetId="11" state="hidden" r:id="rId8"/>
    <sheet name="Sheet19" sheetId="12" state="hidden" r:id="rId9"/>
    <sheet name=" 3SCREENING EVIDENCED BASED TX" sheetId="13" state="hidden" r:id="rId10"/>
    <sheet name=" 4CLIENT ACTIVITY - DISCHARGES" sheetId="14" state="hidden" r:id="rId11"/>
    <sheet name="PRSS" sheetId="15" state="hidden" r:id="rId12"/>
    <sheet name="3MOUD STIMULANTS" sheetId="16" state="hidden" r:id="rId13"/>
    <sheet name="Followup NOMS" sheetId="17" state="hidden" r:id="rId14"/>
    <sheet name="5Followup GPRA" sheetId="18" state="hidden" r:id="rId15"/>
    <sheet name="5Followup OUD Meth" sheetId="19" state="hidden" r:id="rId16"/>
    <sheet name="6Evidence Based Training" sheetId="20" state="hidden" r:id="rId17"/>
    <sheet name="6TRAINING " sheetId="21" state="hidden" r:id="rId18"/>
    <sheet name="MEETINGS ACTIVITIES EVENTS" sheetId="22" r:id="rId19"/>
    <sheet name="7Naloxone Kits Distributed" sheetId="24" state="hidden" r:id="rId20"/>
    <sheet name="8SUMMARY" sheetId="25" state="hidden" r:id="rId21"/>
    <sheet name="Pick List " sheetId="26" state="hidden" r:id="rId22"/>
    <sheet name="2222222" sheetId="27" state="hidden" r:id="rId23"/>
  </sheets>
  <definedNames>
    <definedName name="_Hlk510791888" localSheetId="5">Sheet1!$A$23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1" roundtripDataSignature="AMtx7miZxV8fHkmsFm/RVmE8OMLQYeiNDA=="/>
    </ext>
  </extLst>
</workbook>
</file>

<file path=xl/calcChain.xml><?xml version="1.0" encoding="utf-8"?>
<calcChain xmlns="http://schemas.openxmlformats.org/spreadsheetml/2006/main">
  <c r="A4" i="22" l="1"/>
  <c r="A5" i="22"/>
  <c r="A6" i="22"/>
  <c r="A7" i="22"/>
  <c r="A8" i="22"/>
  <c r="A9" i="22"/>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A56" i="22"/>
  <c r="A57" i="22"/>
  <c r="A58" i="22"/>
  <c r="A59" i="22"/>
  <c r="A60" i="22"/>
  <c r="A61" i="22"/>
  <c r="A62" i="22"/>
  <c r="A63" i="22"/>
  <c r="A64" i="22"/>
  <c r="A65" i="22"/>
  <c r="A66" i="22"/>
  <c r="A67" i="22"/>
  <c r="A68" i="22"/>
  <c r="A69" i="22"/>
  <c r="A70" i="22"/>
  <c r="A71" i="22"/>
  <c r="A72" i="22"/>
  <c r="A73" i="22"/>
  <c r="A74" i="22"/>
  <c r="A75" i="22"/>
  <c r="A76" i="22"/>
  <c r="A77" i="22"/>
  <c r="A78" i="22"/>
  <c r="A79" i="22"/>
  <c r="A80" i="22"/>
  <c r="A81" i="22"/>
  <c r="A82" i="22"/>
  <c r="A83" i="22"/>
  <c r="A84" i="22"/>
  <c r="A85" i="22"/>
  <c r="A86" i="22"/>
  <c r="A87" i="22"/>
  <c r="A88" i="22"/>
  <c r="A89" i="22"/>
  <c r="A90" i="22"/>
  <c r="A91" i="22"/>
  <c r="A92" i="22"/>
  <c r="A93" i="22"/>
  <c r="A94" i="22"/>
  <c r="A95" i="22"/>
  <c r="A96" i="22"/>
  <c r="A97" i="22"/>
  <c r="A98" i="22"/>
  <c r="A99" i="22"/>
  <c r="A100" i="22"/>
  <c r="A101" i="22"/>
  <c r="A102" i="22"/>
  <c r="A103" i="22"/>
  <c r="A104" i="22"/>
  <c r="A105" i="22"/>
  <c r="A106" i="22"/>
  <c r="A107" i="22"/>
  <c r="A108" i="22"/>
  <c r="A109" i="22"/>
  <c r="A110" i="22"/>
  <c r="A111" i="22"/>
  <c r="A112" i="22"/>
  <c r="A113" i="22"/>
  <c r="A114" i="22"/>
  <c r="A115" i="22"/>
  <c r="A116" i="22"/>
  <c r="A117" i="22"/>
  <c r="A118" i="22"/>
  <c r="A119" i="22"/>
  <c r="A120" i="22"/>
  <c r="A121" i="22"/>
  <c r="A122" i="22"/>
  <c r="A123" i="22"/>
  <c r="A124" i="22"/>
  <c r="A125" i="22"/>
  <c r="A126" i="22"/>
  <c r="A127" i="22"/>
  <c r="A128" i="22"/>
  <c r="A129" i="22"/>
  <c r="A130" i="22"/>
  <c r="A131" i="22"/>
  <c r="A132" i="22"/>
  <c r="A133" i="22"/>
  <c r="A134" i="22"/>
  <c r="A135" i="22"/>
  <c r="A136" i="22"/>
  <c r="A137" i="22"/>
  <c r="A138" i="22"/>
  <c r="A139" i="22"/>
  <c r="A140" i="22"/>
  <c r="A141" i="22"/>
  <c r="A142" i="22"/>
  <c r="A143" i="22"/>
  <c r="A144" i="22"/>
  <c r="A145" i="22"/>
  <c r="A146"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70" i="22"/>
  <c r="A171" i="22"/>
  <c r="A172" i="22"/>
  <c r="A173" i="22"/>
  <c r="A174" i="22"/>
  <c r="A175" i="22"/>
  <c r="A176" i="22"/>
  <c r="A177" i="22"/>
  <c r="A178" i="22"/>
  <c r="A179" i="22"/>
  <c r="A180" i="22"/>
  <c r="A181" i="22"/>
  <c r="A182" i="22"/>
  <c r="A183" i="22"/>
  <c r="A184" i="22"/>
  <c r="A185" i="22"/>
  <c r="A186" i="22"/>
  <c r="A187" i="22"/>
  <c r="A188" i="22"/>
  <c r="A189" i="22"/>
  <c r="A190" i="22"/>
  <c r="A191" i="22"/>
  <c r="A192" i="22"/>
  <c r="A193" i="22"/>
  <c r="A194" i="22"/>
  <c r="A195" i="22"/>
  <c r="A196" i="22"/>
  <c r="A197" i="22"/>
  <c r="A198" i="22"/>
  <c r="A199" i="22"/>
  <c r="A200" i="22"/>
  <c r="A201" i="22"/>
  <c r="A202" i="22"/>
  <c r="A203" i="22"/>
  <c r="A204" i="22"/>
  <c r="A205" i="22"/>
  <c r="A206" i="22"/>
  <c r="A207" i="22"/>
  <c r="A208" i="22"/>
  <c r="A209" i="22"/>
  <c r="A210" i="22"/>
  <c r="A211" i="22"/>
  <c r="A212" i="22"/>
  <c r="A213" i="22"/>
  <c r="A214" i="22"/>
  <c r="A3" i="22"/>
  <c r="A225" i="22" l="1"/>
  <c r="A224" i="22"/>
  <c r="A223" i="22"/>
  <c r="A222" i="22"/>
  <c r="A221" i="22"/>
  <c r="A220" i="22"/>
  <c r="A219" i="22"/>
  <c r="A218" i="22"/>
  <c r="A217" i="22"/>
  <c r="A216" i="22"/>
  <c r="A215" i="22"/>
  <c r="A62" i="27" l="1"/>
  <c r="A61" i="27"/>
  <c r="A60" i="27"/>
  <c r="A59" i="27"/>
  <c r="A58" i="27"/>
  <c r="A57" i="27"/>
  <c r="A56" i="27"/>
  <c r="A55" i="27"/>
  <c r="A54" i="27"/>
  <c r="A53" i="27"/>
  <c r="A52" i="27"/>
  <c r="A51" i="27"/>
  <c r="A50" i="27"/>
  <c r="A49" i="27"/>
  <c r="A48" i="27"/>
  <c r="A47" i="27"/>
  <c r="A46" i="27"/>
  <c r="A45" i="27"/>
  <c r="A44" i="27"/>
  <c r="A43" i="27"/>
  <c r="A42" i="27"/>
  <c r="A41" i="27"/>
  <c r="A40" i="27"/>
  <c r="A39" i="27"/>
  <c r="A38" i="27"/>
  <c r="A37" i="27"/>
  <c r="A36" i="27"/>
  <c r="A35" i="27"/>
  <c r="A34" i="27"/>
  <c r="A33" i="27"/>
  <c r="A32" i="27"/>
  <c r="A31" i="27"/>
  <c r="A30" i="27"/>
  <c r="A29" i="27"/>
  <c r="A28" i="27"/>
  <c r="A27" i="27"/>
  <c r="A26" i="27"/>
  <c r="A25" i="27"/>
  <c r="A24" i="27"/>
  <c r="A23" i="27"/>
  <c r="A22" i="27"/>
  <c r="A21" i="27"/>
  <c r="A20" i="27"/>
  <c r="A19" i="27"/>
  <c r="A18" i="27"/>
  <c r="A17" i="27"/>
  <c r="A16" i="27"/>
  <c r="A15" i="27"/>
  <c r="A14" i="27"/>
  <c r="A13" i="27"/>
  <c r="M10" i="27"/>
  <c r="H10" i="27"/>
  <c r="E10" i="27"/>
  <c r="M9" i="27"/>
  <c r="M8" i="27"/>
  <c r="E8" i="27"/>
  <c r="M7" i="27"/>
  <c r="E7" i="27"/>
  <c r="M6" i="27"/>
  <c r="E6" i="27"/>
  <c r="A4" i="27"/>
  <c r="A3" i="27"/>
  <c r="A2" i="27"/>
  <c r="AK51" i="25"/>
  <c r="AH51" i="25"/>
  <c r="AE51" i="25"/>
  <c r="AB51" i="25"/>
  <c r="O51" i="25"/>
  <c r="L51" i="25"/>
  <c r="C51" i="25"/>
  <c r="AI50" i="25"/>
  <c r="AF50" i="25"/>
  <c r="AC50" i="25"/>
  <c r="X50" i="25"/>
  <c r="V50" i="25"/>
  <c r="S50" i="25"/>
  <c r="P50" i="25"/>
  <c r="M50" i="25"/>
  <c r="J50" i="25"/>
  <c r="G50" i="25"/>
  <c r="D50" i="25"/>
  <c r="AI49" i="25"/>
  <c r="AF49" i="25"/>
  <c r="AC49" i="25"/>
  <c r="X49" i="25"/>
  <c r="V49" i="25"/>
  <c r="S49" i="25"/>
  <c r="P49" i="25"/>
  <c r="M49" i="25"/>
  <c r="J49" i="25"/>
  <c r="G49" i="25"/>
  <c r="D49" i="25"/>
  <c r="AI48" i="25"/>
  <c r="AF48" i="25"/>
  <c r="AC48" i="25"/>
  <c r="X48" i="25"/>
  <c r="V48" i="25"/>
  <c r="S48" i="25"/>
  <c r="P48" i="25"/>
  <c r="M48" i="25"/>
  <c r="J48" i="25"/>
  <c r="G48" i="25"/>
  <c r="D48" i="25"/>
  <c r="AI47" i="25"/>
  <c r="AF47" i="25"/>
  <c r="AC47" i="25"/>
  <c r="X47" i="25"/>
  <c r="V47" i="25"/>
  <c r="S47" i="25"/>
  <c r="P47" i="25"/>
  <c r="M47" i="25"/>
  <c r="J47" i="25"/>
  <c r="G47" i="25"/>
  <c r="D47" i="25"/>
  <c r="AI46" i="25"/>
  <c r="AF46" i="25"/>
  <c r="AC46" i="25"/>
  <c r="X46" i="25"/>
  <c r="V46" i="25"/>
  <c r="S46" i="25"/>
  <c r="P46" i="25"/>
  <c r="M46" i="25"/>
  <c r="J46" i="25"/>
  <c r="G46" i="25"/>
  <c r="D46" i="25"/>
  <c r="AI45" i="25"/>
  <c r="AF45" i="25"/>
  <c r="AC45" i="25"/>
  <c r="X45" i="25"/>
  <c r="V45" i="25"/>
  <c r="S45" i="25"/>
  <c r="P45" i="25"/>
  <c r="M45" i="25"/>
  <c r="J45" i="25"/>
  <c r="G45" i="25"/>
  <c r="D45" i="25"/>
  <c r="AI44" i="25"/>
  <c r="AF44" i="25"/>
  <c r="AC44" i="25"/>
  <c r="X44" i="25"/>
  <c r="V44" i="25"/>
  <c r="S44" i="25"/>
  <c r="P44" i="25"/>
  <c r="M44" i="25"/>
  <c r="J44" i="25"/>
  <c r="G44" i="25"/>
  <c r="D44" i="25"/>
  <c r="AI43" i="25"/>
  <c r="AF43" i="25"/>
  <c r="AC43" i="25"/>
  <c r="X43" i="25"/>
  <c r="V43" i="25"/>
  <c r="S43" i="25"/>
  <c r="P43" i="25"/>
  <c r="M43" i="25"/>
  <c r="J43" i="25"/>
  <c r="G43" i="25"/>
  <c r="D43" i="25"/>
  <c r="AI42" i="25"/>
  <c r="AF42" i="25"/>
  <c r="AC42" i="25"/>
  <c r="X42" i="25"/>
  <c r="V42" i="25"/>
  <c r="S42" i="25"/>
  <c r="P42" i="25"/>
  <c r="M42" i="25"/>
  <c r="J42" i="25"/>
  <c r="G42" i="25"/>
  <c r="D42" i="25"/>
  <c r="AI41" i="25"/>
  <c r="AI51" i="25" s="1"/>
  <c r="AF41" i="25"/>
  <c r="AC41" i="25"/>
  <c r="AC51" i="25" s="1"/>
  <c r="X41" i="25"/>
  <c r="V41" i="25"/>
  <c r="V51" i="25" s="1"/>
  <c r="S41" i="25"/>
  <c r="S51" i="25" s="1"/>
  <c r="P41" i="25"/>
  <c r="P51" i="25" s="1"/>
  <c r="M41" i="25"/>
  <c r="M51" i="25" s="1"/>
  <c r="J41" i="25"/>
  <c r="J51" i="25" s="1"/>
  <c r="G41" i="25"/>
  <c r="G51" i="25" s="1"/>
  <c r="D41" i="25"/>
  <c r="D51" i="25" s="1"/>
  <c r="AJ34" i="25"/>
  <c r="AI34" i="25"/>
  <c r="AH34" i="25"/>
  <c r="AG34" i="25"/>
  <c r="AF34" i="25"/>
  <c r="AE34" i="25"/>
  <c r="AD34" i="25"/>
  <c r="AC34" i="25"/>
  <c r="AB34" i="25"/>
  <c r="W34" i="25"/>
  <c r="V34" i="25"/>
  <c r="U34" i="25"/>
  <c r="T34" i="25"/>
  <c r="S34" i="25"/>
  <c r="R34" i="25"/>
  <c r="Q34" i="25"/>
  <c r="P34" i="25"/>
  <c r="O34" i="25"/>
  <c r="N34" i="25"/>
  <c r="M34" i="25"/>
  <c r="L34" i="25"/>
  <c r="K34" i="25"/>
  <c r="J34" i="25"/>
  <c r="I34" i="25"/>
  <c r="H34" i="25"/>
  <c r="G34" i="25"/>
  <c r="F34" i="25"/>
  <c r="E34" i="25"/>
  <c r="D34" i="25"/>
  <c r="C34" i="25"/>
  <c r="AJ33" i="25"/>
  <c r="AI33" i="25"/>
  <c r="AH33" i="25"/>
  <c r="AG33" i="25"/>
  <c r="AF33" i="25"/>
  <c r="AE33" i="25"/>
  <c r="AD33" i="25"/>
  <c r="AC33" i="25"/>
  <c r="AB33" i="25"/>
  <c r="W33" i="25"/>
  <c r="V33" i="25"/>
  <c r="U33" i="25"/>
  <c r="T33" i="25"/>
  <c r="S33" i="25"/>
  <c r="R33" i="25"/>
  <c r="Q33" i="25"/>
  <c r="P33" i="25"/>
  <c r="O33" i="25"/>
  <c r="N33" i="25"/>
  <c r="M33" i="25"/>
  <c r="L33" i="25"/>
  <c r="K33" i="25"/>
  <c r="J33" i="25"/>
  <c r="I33" i="25"/>
  <c r="H33" i="25"/>
  <c r="G33" i="25"/>
  <c r="F33" i="25"/>
  <c r="E33" i="25"/>
  <c r="D33" i="25"/>
  <c r="C33" i="25"/>
  <c r="AJ32" i="25"/>
  <c r="AI32" i="25"/>
  <c r="AH32" i="25"/>
  <c r="AG32" i="25"/>
  <c r="AF32" i="25"/>
  <c r="AE32" i="25"/>
  <c r="AD32" i="25"/>
  <c r="AC32" i="25"/>
  <c r="AB32" i="25"/>
  <c r="W32" i="25"/>
  <c r="V32" i="25"/>
  <c r="U32" i="25"/>
  <c r="T32" i="25"/>
  <c r="S32" i="25"/>
  <c r="R32" i="25"/>
  <c r="Q32" i="25"/>
  <c r="P32" i="25"/>
  <c r="O32" i="25"/>
  <c r="N32" i="25"/>
  <c r="M32" i="25"/>
  <c r="L32" i="25"/>
  <c r="K32" i="25"/>
  <c r="J32" i="25"/>
  <c r="I32" i="25"/>
  <c r="H32" i="25"/>
  <c r="G32" i="25"/>
  <c r="F32" i="25"/>
  <c r="E32" i="25"/>
  <c r="D32" i="25"/>
  <c r="C32" i="25"/>
  <c r="AJ31" i="25"/>
  <c r="AI31" i="25"/>
  <c r="AH31" i="25"/>
  <c r="AG31" i="25"/>
  <c r="AF31" i="25"/>
  <c r="AE31" i="25"/>
  <c r="AD31" i="25"/>
  <c r="AC31" i="25"/>
  <c r="AB31" i="25"/>
  <c r="W31" i="25"/>
  <c r="V31" i="25"/>
  <c r="U31" i="25"/>
  <c r="T31" i="25"/>
  <c r="S31" i="25"/>
  <c r="R31" i="25"/>
  <c r="Q31" i="25"/>
  <c r="P31" i="25"/>
  <c r="O31" i="25"/>
  <c r="N31" i="25"/>
  <c r="M31" i="25"/>
  <c r="L31" i="25"/>
  <c r="K31" i="25"/>
  <c r="J31" i="25"/>
  <c r="I31" i="25"/>
  <c r="H31" i="25"/>
  <c r="G31" i="25"/>
  <c r="F31" i="25"/>
  <c r="E31" i="25"/>
  <c r="D31" i="25"/>
  <c r="C31" i="25"/>
  <c r="AJ30" i="25"/>
  <c r="AI30" i="25"/>
  <c r="AH30" i="25"/>
  <c r="AG30" i="25"/>
  <c r="AF30" i="25"/>
  <c r="AE30" i="25"/>
  <c r="AD30" i="25"/>
  <c r="AC30" i="25"/>
  <c r="AB30" i="25"/>
  <c r="W30" i="25"/>
  <c r="V30" i="25"/>
  <c r="U30" i="25"/>
  <c r="T30" i="25"/>
  <c r="S30" i="25"/>
  <c r="R30" i="25"/>
  <c r="Q30" i="25"/>
  <c r="P30" i="25"/>
  <c r="O30" i="25"/>
  <c r="N30" i="25"/>
  <c r="M30" i="25"/>
  <c r="L30" i="25"/>
  <c r="K30" i="25"/>
  <c r="J30" i="25"/>
  <c r="I30" i="25"/>
  <c r="H30" i="25"/>
  <c r="G30" i="25"/>
  <c r="F30" i="25"/>
  <c r="E30" i="25"/>
  <c r="D30" i="25"/>
  <c r="C30" i="25"/>
  <c r="AJ29" i="25"/>
  <c r="AI29" i="25"/>
  <c r="AH29" i="25"/>
  <c r="AG29" i="25"/>
  <c r="AF29" i="25"/>
  <c r="AE29" i="25"/>
  <c r="AD29" i="25"/>
  <c r="AC29" i="25"/>
  <c r="AB29" i="25"/>
  <c r="W29" i="25"/>
  <c r="V29" i="25"/>
  <c r="U29" i="25"/>
  <c r="T29" i="25"/>
  <c r="S29" i="25"/>
  <c r="R29" i="25"/>
  <c r="Q29" i="25"/>
  <c r="P29" i="25"/>
  <c r="O29" i="25"/>
  <c r="N29" i="25"/>
  <c r="M29" i="25"/>
  <c r="L29" i="25"/>
  <c r="K29" i="25"/>
  <c r="J29" i="25"/>
  <c r="I29" i="25"/>
  <c r="H29" i="25"/>
  <c r="G29" i="25"/>
  <c r="F29" i="25"/>
  <c r="E29" i="25"/>
  <c r="D29" i="25"/>
  <c r="C29" i="25"/>
  <c r="AJ28" i="25"/>
  <c r="AI28" i="25"/>
  <c r="AH28" i="25"/>
  <c r="AG28" i="25"/>
  <c r="AF28" i="25"/>
  <c r="AE28" i="25"/>
  <c r="AD28" i="25"/>
  <c r="AC28" i="25"/>
  <c r="AB28" i="25"/>
  <c r="W28" i="25"/>
  <c r="V28" i="25"/>
  <c r="U28" i="25"/>
  <c r="T28" i="25"/>
  <c r="S28" i="25"/>
  <c r="R28" i="25"/>
  <c r="Q28" i="25"/>
  <c r="P28" i="25"/>
  <c r="O28" i="25"/>
  <c r="N28" i="25"/>
  <c r="M28" i="25"/>
  <c r="L28" i="25"/>
  <c r="K28" i="25"/>
  <c r="J28" i="25"/>
  <c r="I28" i="25"/>
  <c r="H28" i="25"/>
  <c r="G28" i="25"/>
  <c r="F28" i="25"/>
  <c r="E28" i="25"/>
  <c r="D28" i="25"/>
  <c r="C28" i="25"/>
  <c r="AJ27" i="25"/>
  <c r="AI27" i="25"/>
  <c r="AH27" i="25"/>
  <c r="AG27" i="25"/>
  <c r="AF27" i="25"/>
  <c r="AE27" i="25"/>
  <c r="AD27" i="25"/>
  <c r="AC27" i="25"/>
  <c r="AB27" i="25"/>
  <c r="W27" i="25"/>
  <c r="V27" i="25"/>
  <c r="U27" i="25"/>
  <c r="T27" i="25"/>
  <c r="S27" i="25"/>
  <c r="R27" i="25"/>
  <c r="Q27" i="25"/>
  <c r="P27" i="25"/>
  <c r="O27" i="25"/>
  <c r="N27" i="25"/>
  <c r="M27" i="25"/>
  <c r="L27" i="25"/>
  <c r="K27" i="25"/>
  <c r="J27" i="25"/>
  <c r="I27" i="25"/>
  <c r="H27" i="25"/>
  <c r="G27" i="25"/>
  <c r="F27" i="25"/>
  <c r="E27" i="25"/>
  <c r="D27" i="25"/>
  <c r="C27" i="25"/>
  <c r="AJ26" i="25"/>
  <c r="AI26" i="25"/>
  <c r="AH26" i="25"/>
  <c r="AG26" i="25"/>
  <c r="AF26" i="25"/>
  <c r="AE26" i="25"/>
  <c r="AD26" i="25"/>
  <c r="AC26" i="25"/>
  <c r="AB26" i="25"/>
  <c r="W26" i="25"/>
  <c r="V26" i="25"/>
  <c r="U26" i="25"/>
  <c r="T26" i="25"/>
  <c r="S26" i="25"/>
  <c r="R26" i="25"/>
  <c r="Q26" i="25"/>
  <c r="P26" i="25"/>
  <c r="O26" i="25"/>
  <c r="N26" i="25"/>
  <c r="M26" i="25"/>
  <c r="L26" i="25"/>
  <c r="K26" i="25"/>
  <c r="J26" i="25"/>
  <c r="I26" i="25"/>
  <c r="H26" i="25"/>
  <c r="G26" i="25"/>
  <c r="F26" i="25"/>
  <c r="E26" i="25"/>
  <c r="D26" i="25"/>
  <c r="C26" i="25"/>
  <c r="AJ25" i="25"/>
  <c r="AJ35" i="25" s="1"/>
  <c r="AI25" i="25"/>
  <c r="AI35" i="25" s="1"/>
  <c r="AH25" i="25"/>
  <c r="AG25" i="25"/>
  <c r="AF25" i="25"/>
  <c r="AF35" i="25" s="1"/>
  <c r="AE25" i="25"/>
  <c r="AD25" i="25"/>
  <c r="AC25" i="25"/>
  <c r="AC35" i="25" s="1"/>
  <c r="AB25" i="25"/>
  <c r="AB35" i="25" s="1"/>
  <c r="W25" i="25"/>
  <c r="W35" i="25" s="1"/>
  <c r="V25" i="25"/>
  <c r="V35" i="25" s="1"/>
  <c r="U25" i="25"/>
  <c r="T25" i="25"/>
  <c r="T35" i="25" s="1"/>
  <c r="S25" i="25"/>
  <c r="S35" i="25" s="1"/>
  <c r="R25" i="25"/>
  <c r="Q25" i="25"/>
  <c r="P25" i="25"/>
  <c r="P35" i="25" s="1"/>
  <c r="O25" i="25"/>
  <c r="N25" i="25"/>
  <c r="M25" i="25"/>
  <c r="M35" i="25" s="1"/>
  <c r="L25" i="25"/>
  <c r="L35" i="25" s="1"/>
  <c r="K25" i="25"/>
  <c r="K35" i="25" s="1"/>
  <c r="J25" i="25"/>
  <c r="J35" i="25" s="1"/>
  <c r="I25" i="25"/>
  <c r="H25" i="25"/>
  <c r="H35" i="25" s="1"/>
  <c r="G25" i="25"/>
  <c r="G35" i="25" s="1"/>
  <c r="F25" i="25"/>
  <c r="E25" i="25"/>
  <c r="D25" i="25"/>
  <c r="D35" i="25" s="1"/>
  <c r="C25" i="25"/>
  <c r="AG17" i="25"/>
  <c r="AE17" i="25"/>
  <c r="AC17" i="25"/>
  <c r="AA17" i="25"/>
  <c r="Y17" i="25"/>
  <c r="W17" i="25"/>
  <c r="U17" i="25"/>
  <c r="S17" i="25"/>
  <c r="Q17" i="25"/>
  <c r="O17" i="25"/>
  <c r="M17" i="25"/>
  <c r="K17" i="25"/>
  <c r="I17" i="25"/>
  <c r="G17" i="25"/>
  <c r="AG16" i="25"/>
  <c r="AE16" i="25"/>
  <c r="AC16" i="25"/>
  <c r="AA16" i="25"/>
  <c r="Y16" i="25"/>
  <c r="W16" i="25"/>
  <c r="U16" i="25"/>
  <c r="S16" i="25"/>
  <c r="Q16" i="25"/>
  <c r="O16" i="25"/>
  <c r="M16" i="25"/>
  <c r="K16" i="25"/>
  <c r="I16" i="25"/>
  <c r="G16" i="25"/>
  <c r="AG15" i="25"/>
  <c r="AE15" i="25"/>
  <c r="AC15" i="25"/>
  <c r="AA15" i="25"/>
  <c r="Y15" i="25"/>
  <c r="W15" i="25"/>
  <c r="U15" i="25"/>
  <c r="S15" i="25"/>
  <c r="Q15" i="25"/>
  <c r="O15" i="25"/>
  <c r="M15" i="25"/>
  <c r="K15" i="25"/>
  <c r="I15" i="25"/>
  <c r="G15" i="25"/>
  <c r="AA9" i="25"/>
  <c r="O9" i="25"/>
  <c r="J9" i="25"/>
  <c r="AA8" i="25"/>
  <c r="AA7" i="25"/>
  <c r="J7" i="25"/>
  <c r="AA6" i="25"/>
  <c r="J6" i="25"/>
  <c r="AA5" i="25"/>
  <c r="J5" i="25"/>
  <c r="A3" i="25"/>
  <c r="A2" i="25"/>
  <c r="A1" i="25"/>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J9" i="24"/>
  <c r="J8" i="24"/>
  <c r="E8" i="24"/>
  <c r="J7" i="24"/>
  <c r="E7" i="24"/>
  <c r="J6" i="24"/>
  <c r="E6" i="24"/>
  <c r="A4" i="24"/>
  <c r="A3" i="24"/>
  <c r="A2" i="24"/>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W13" i="21"/>
  <c r="V13" i="21"/>
  <c r="U13" i="21"/>
  <c r="T13" i="21"/>
  <c r="S13" i="21"/>
  <c r="R13" i="21"/>
  <c r="Q13" i="21"/>
  <c r="P13" i="21"/>
  <c r="O13" i="21"/>
  <c r="N13" i="21"/>
  <c r="J10" i="21"/>
  <c r="G10" i="21"/>
  <c r="E10" i="21"/>
  <c r="J9" i="21"/>
  <c r="J8" i="21"/>
  <c r="E8" i="21"/>
  <c r="J7" i="21"/>
  <c r="E7" i="21"/>
  <c r="J6" i="21"/>
  <c r="E6" i="21"/>
  <c r="A4" i="21"/>
  <c r="A3" i="21"/>
  <c r="A2" i="21"/>
  <c r="W1" i="21"/>
  <c r="V1" i="21"/>
  <c r="U1" i="21"/>
  <c r="T1" i="21"/>
  <c r="S1" i="21"/>
  <c r="R1" i="21"/>
  <c r="Q1" i="21"/>
  <c r="P1" i="21"/>
  <c r="O1" i="21"/>
  <c r="N1" i="21"/>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K10" i="20"/>
  <c r="G10" i="20"/>
  <c r="E10" i="20"/>
  <c r="K9" i="20"/>
  <c r="K8" i="20"/>
  <c r="E8" i="20"/>
  <c r="K7" i="20"/>
  <c r="E7" i="20"/>
  <c r="K6" i="20"/>
  <c r="E6" i="20"/>
  <c r="A4" i="20"/>
  <c r="A3" i="20"/>
  <c r="A2" i="20"/>
  <c r="E62" i="19"/>
  <c r="U62" i="19" s="1"/>
  <c r="D62" i="19"/>
  <c r="C62" i="19"/>
  <c r="B62" i="19"/>
  <c r="A62" i="19"/>
  <c r="K61" i="19"/>
  <c r="E61" i="19"/>
  <c r="P61" i="19" s="1"/>
  <c r="D61" i="19"/>
  <c r="C61" i="19"/>
  <c r="B61" i="19"/>
  <c r="A61" i="19"/>
  <c r="E60" i="19"/>
  <c r="Z60" i="19" s="1"/>
  <c r="D60" i="19"/>
  <c r="C60" i="19"/>
  <c r="B60" i="19"/>
  <c r="A60" i="19"/>
  <c r="E59" i="19"/>
  <c r="D59" i="19"/>
  <c r="C59" i="19"/>
  <c r="B59" i="19"/>
  <c r="A59" i="19"/>
  <c r="E58" i="19"/>
  <c r="D58" i="19"/>
  <c r="C58" i="19"/>
  <c r="B58" i="19"/>
  <c r="A58" i="19"/>
  <c r="E57" i="19"/>
  <c r="D57" i="19"/>
  <c r="C57" i="19"/>
  <c r="B57" i="19"/>
  <c r="A57" i="19"/>
  <c r="E56" i="19"/>
  <c r="U56" i="19" s="1"/>
  <c r="D56" i="19"/>
  <c r="C56" i="19"/>
  <c r="B56" i="19"/>
  <c r="A56" i="19"/>
  <c r="E55" i="19"/>
  <c r="P55" i="19" s="1"/>
  <c r="D55" i="19"/>
  <c r="C55" i="19"/>
  <c r="B55" i="19"/>
  <c r="A55" i="19"/>
  <c r="E54" i="19"/>
  <c r="P54" i="19" s="1"/>
  <c r="D54" i="19"/>
  <c r="C54" i="19"/>
  <c r="B54" i="19"/>
  <c r="A54" i="19"/>
  <c r="E53" i="19"/>
  <c r="F53" i="19" s="1"/>
  <c r="D53" i="19"/>
  <c r="C53" i="19"/>
  <c r="B53" i="19"/>
  <c r="A53" i="19"/>
  <c r="E52" i="19"/>
  <c r="D52" i="19"/>
  <c r="C52" i="19"/>
  <c r="B52" i="19"/>
  <c r="A52" i="19"/>
  <c r="E51" i="19"/>
  <c r="Z51" i="19" s="1"/>
  <c r="D51" i="19"/>
  <c r="C51" i="19"/>
  <c r="B51" i="19"/>
  <c r="A51" i="19"/>
  <c r="E50" i="19"/>
  <c r="P50" i="19" s="1"/>
  <c r="D50" i="19"/>
  <c r="C50" i="19"/>
  <c r="B50" i="19"/>
  <c r="A50" i="19"/>
  <c r="E49" i="19"/>
  <c r="F49" i="19" s="1"/>
  <c r="D49" i="19"/>
  <c r="C49" i="19"/>
  <c r="B49" i="19"/>
  <c r="A49" i="19"/>
  <c r="E48" i="19"/>
  <c r="K48" i="19" s="1"/>
  <c r="D48" i="19"/>
  <c r="C48" i="19"/>
  <c r="B48" i="19"/>
  <c r="A48" i="19"/>
  <c r="E47" i="19"/>
  <c r="U47" i="19" s="1"/>
  <c r="D47" i="19"/>
  <c r="C47" i="19"/>
  <c r="B47" i="19"/>
  <c r="A47" i="19"/>
  <c r="F46" i="19"/>
  <c r="E46" i="19"/>
  <c r="P46" i="19" s="1"/>
  <c r="D46" i="19"/>
  <c r="C46" i="19"/>
  <c r="B46" i="19"/>
  <c r="A46" i="19"/>
  <c r="E45" i="19"/>
  <c r="P45" i="19" s="1"/>
  <c r="D45" i="19"/>
  <c r="C45" i="19"/>
  <c r="B45" i="19"/>
  <c r="A45" i="19"/>
  <c r="E44" i="19"/>
  <c r="D44" i="19"/>
  <c r="C44" i="19"/>
  <c r="B44" i="19"/>
  <c r="A44" i="19"/>
  <c r="E43" i="19"/>
  <c r="P43" i="19" s="1"/>
  <c r="D43" i="19"/>
  <c r="C43" i="19"/>
  <c r="B43" i="19"/>
  <c r="A43" i="19"/>
  <c r="E42" i="19"/>
  <c r="Z42" i="19" s="1"/>
  <c r="D42" i="19"/>
  <c r="C42" i="19"/>
  <c r="B42" i="19"/>
  <c r="A42" i="19"/>
  <c r="E41" i="19"/>
  <c r="P41" i="19" s="1"/>
  <c r="D41" i="19"/>
  <c r="C41" i="19"/>
  <c r="B41" i="19"/>
  <c r="A41" i="19"/>
  <c r="E40" i="19"/>
  <c r="Z40" i="19" s="1"/>
  <c r="D40" i="19"/>
  <c r="C40" i="19"/>
  <c r="B40" i="19"/>
  <c r="A40" i="19"/>
  <c r="E39" i="19"/>
  <c r="K39" i="19" s="1"/>
  <c r="D39" i="19"/>
  <c r="C39" i="19"/>
  <c r="B39" i="19"/>
  <c r="A39" i="19"/>
  <c r="E38" i="19"/>
  <c r="U38" i="19" s="1"/>
  <c r="D38" i="19"/>
  <c r="C38" i="19"/>
  <c r="B38" i="19"/>
  <c r="A38" i="19"/>
  <c r="E37" i="19"/>
  <c r="Z37" i="19" s="1"/>
  <c r="D37" i="19"/>
  <c r="C37" i="19"/>
  <c r="B37" i="19"/>
  <c r="A37" i="19"/>
  <c r="E36" i="19"/>
  <c r="D36" i="19"/>
  <c r="C36" i="19"/>
  <c r="B36" i="19"/>
  <c r="A36" i="19"/>
  <c r="P35" i="19"/>
  <c r="E35" i="19"/>
  <c r="U35" i="19" s="1"/>
  <c r="D35" i="19"/>
  <c r="C35" i="19"/>
  <c r="B35" i="19"/>
  <c r="A35" i="19"/>
  <c r="E34" i="19"/>
  <c r="P34" i="19" s="1"/>
  <c r="D34" i="19"/>
  <c r="C34" i="19"/>
  <c r="B34" i="19"/>
  <c r="A34" i="19"/>
  <c r="E33" i="19"/>
  <c r="D33" i="19"/>
  <c r="C33" i="19"/>
  <c r="B33" i="19"/>
  <c r="A33" i="19"/>
  <c r="E32" i="19"/>
  <c r="U32" i="19" s="1"/>
  <c r="D32" i="19"/>
  <c r="C32" i="19"/>
  <c r="B32" i="19"/>
  <c r="A32" i="19"/>
  <c r="E31" i="19"/>
  <c r="Z31" i="19" s="1"/>
  <c r="D31" i="19"/>
  <c r="C31" i="19"/>
  <c r="B31" i="19"/>
  <c r="A31" i="19"/>
  <c r="E30" i="19"/>
  <c r="P30" i="19" s="1"/>
  <c r="D30" i="19"/>
  <c r="C30" i="19"/>
  <c r="B30" i="19"/>
  <c r="A30" i="19"/>
  <c r="E29" i="19"/>
  <c r="U29" i="19" s="1"/>
  <c r="D29" i="19"/>
  <c r="C29" i="19"/>
  <c r="B29" i="19"/>
  <c r="A29" i="19"/>
  <c r="E28" i="19"/>
  <c r="P28" i="19" s="1"/>
  <c r="D28" i="19"/>
  <c r="C28" i="19"/>
  <c r="B28" i="19"/>
  <c r="A28" i="19"/>
  <c r="E27" i="19"/>
  <c r="P27" i="19" s="1"/>
  <c r="D27" i="19"/>
  <c r="C27" i="19"/>
  <c r="B27" i="19"/>
  <c r="A27" i="19"/>
  <c r="E26" i="19"/>
  <c r="P26" i="19" s="1"/>
  <c r="D26" i="19"/>
  <c r="C26" i="19"/>
  <c r="B26" i="19"/>
  <c r="A26" i="19"/>
  <c r="E25" i="19"/>
  <c r="U25" i="19" s="1"/>
  <c r="D25" i="19"/>
  <c r="C25" i="19"/>
  <c r="B25" i="19"/>
  <c r="A25" i="19"/>
  <c r="E24" i="19"/>
  <c r="Z24" i="19" s="1"/>
  <c r="D24" i="19"/>
  <c r="C24" i="19"/>
  <c r="B24" i="19"/>
  <c r="A24" i="19"/>
  <c r="E23" i="19"/>
  <c r="U23" i="19" s="1"/>
  <c r="D23" i="19"/>
  <c r="C23" i="19"/>
  <c r="B23" i="19"/>
  <c r="A23" i="19"/>
  <c r="E22" i="19"/>
  <c r="F22" i="19" s="1"/>
  <c r="D22" i="19"/>
  <c r="C22" i="19"/>
  <c r="B22" i="19"/>
  <c r="A22" i="19"/>
  <c r="E21" i="19"/>
  <c r="P21" i="19" s="1"/>
  <c r="D21" i="19"/>
  <c r="C21" i="19"/>
  <c r="B21" i="19"/>
  <c r="A21" i="19"/>
  <c r="E20" i="19"/>
  <c r="F20" i="19" s="1"/>
  <c r="D20" i="19"/>
  <c r="C20" i="19"/>
  <c r="B20" i="19"/>
  <c r="A20" i="19"/>
  <c r="E19" i="19"/>
  <c r="Z19" i="19" s="1"/>
  <c r="D19" i="19"/>
  <c r="C19" i="19"/>
  <c r="B19" i="19"/>
  <c r="A19" i="19"/>
  <c r="E18" i="19"/>
  <c r="Z18" i="19" s="1"/>
  <c r="D18" i="19"/>
  <c r="C18" i="19"/>
  <c r="B18" i="19"/>
  <c r="A18" i="19"/>
  <c r="E17" i="19"/>
  <c r="U17" i="19" s="1"/>
  <c r="D17" i="19"/>
  <c r="C17" i="19"/>
  <c r="B17" i="19"/>
  <c r="A17" i="19"/>
  <c r="E16" i="19"/>
  <c r="Z16" i="19" s="1"/>
  <c r="D16" i="19"/>
  <c r="C16" i="19"/>
  <c r="B16" i="19"/>
  <c r="A16" i="19"/>
  <c r="E15" i="19"/>
  <c r="Z15" i="19" s="1"/>
  <c r="D15" i="19"/>
  <c r="C15" i="19"/>
  <c r="B15" i="19"/>
  <c r="A15" i="19"/>
  <c r="E14" i="19"/>
  <c r="D14" i="19"/>
  <c r="C14" i="19"/>
  <c r="B14" i="19"/>
  <c r="A14" i="19"/>
  <c r="E13" i="19"/>
  <c r="D13" i="19"/>
  <c r="C13" i="19"/>
  <c r="B13" i="19"/>
  <c r="A13" i="19"/>
  <c r="L10" i="19"/>
  <c r="G10" i="19"/>
  <c r="E10" i="19"/>
  <c r="L9" i="19"/>
  <c r="L8" i="19"/>
  <c r="E8" i="19"/>
  <c r="L7" i="19"/>
  <c r="E7" i="19"/>
  <c r="L6" i="19"/>
  <c r="E6" i="19"/>
  <c r="A4" i="19"/>
  <c r="A3" i="19"/>
  <c r="A2" i="19"/>
  <c r="E62" i="18"/>
  <c r="Q62" i="18" s="1"/>
  <c r="D62" i="18"/>
  <c r="C62" i="18"/>
  <c r="B62" i="18"/>
  <c r="A62" i="18"/>
  <c r="E61" i="18"/>
  <c r="D61" i="18"/>
  <c r="C61" i="18"/>
  <c r="B61" i="18"/>
  <c r="A61" i="18"/>
  <c r="E60" i="18"/>
  <c r="D60" i="18"/>
  <c r="C60" i="18"/>
  <c r="B60" i="18"/>
  <c r="A60" i="18"/>
  <c r="L59" i="18"/>
  <c r="E59" i="18"/>
  <c r="AL59" i="18" s="1"/>
  <c r="D59" i="18"/>
  <c r="C59" i="18"/>
  <c r="B59" i="18"/>
  <c r="A59" i="18"/>
  <c r="E58" i="18"/>
  <c r="AL58" i="18" s="1"/>
  <c r="D58" i="18"/>
  <c r="C58" i="18"/>
  <c r="B58" i="18"/>
  <c r="A58" i="18"/>
  <c r="AL57" i="18"/>
  <c r="E57" i="18"/>
  <c r="L57" i="18" s="1"/>
  <c r="D57" i="18"/>
  <c r="C57" i="18"/>
  <c r="B57" i="18"/>
  <c r="A57" i="18"/>
  <c r="E56" i="18"/>
  <c r="D56" i="18"/>
  <c r="C56" i="18"/>
  <c r="B56" i="18"/>
  <c r="A56" i="18"/>
  <c r="E55" i="18"/>
  <c r="V55" i="18" s="1"/>
  <c r="D55" i="18"/>
  <c r="C55" i="18"/>
  <c r="B55" i="18"/>
  <c r="A55" i="18"/>
  <c r="E54" i="18"/>
  <c r="AL54" i="18" s="1"/>
  <c r="D54" i="18"/>
  <c r="C54" i="18"/>
  <c r="B54" i="18"/>
  <c r="A54" i="18"/>
  <c r="E53" i="18"/>
  <c r="AB53" i="18" s="1"/>
  <c r="D53" i="18"/>
  <c r="C53" i="18"/>
  <c r="B53" i="18"/>
  <c r="A53" i="18"/>
  <c r="E52" i="18"/>
  <c r="V52" i="18" s="1"/>
  <c r="D52" i="18"/>
  <c r="C52" i="18"/>
  <c r="B52" i="18"/>
  <c r="A52" i="18"/>
  <c r="E51" i="18"/>
  <c r="D51" i="18"/>
  <c r="C51" i="18"/>
  <c r="B51" i="18"/>
  <c r="A51" i="18"/>
  <c r="E50" i="18"/>
  <c r="G50" i="18" s="1"/>
  <c r="D50" i="18"/>
  <c r="C50" i="18"/>
  <c r="B50" i="18"/>
  <c r="A50" i="18"/>
  <c r="E49" i="18"/>
  <c r="AL49" i="18" s="1"/>
  <c r="D49" i="18"/>
  <c r="C49" i="18"/>
  <c r="B49" i="18"/>
  <c r="A49" i="18"/>
  <c r="E48" i="18"/>
  <c r="AL48" i="18" s="1"/>
  <c r="D48" i="18"/>
  <c r="C48" i="18"/>
  <c r="B48" i="18"/>
  <c r="A48" i="18"/>
  <c r="E47" i="18"/>
  <c r="AL47" i="18" s="1"/>
  <c r="D47" i="18"/>
  <c r="C47" i="18"/>
  <c r="B47" i="18"/>
  <c r="A47" i="18"/>
  <c r="E46" i="18"/>
  <c r="V46" i="18" s="1"/>
  <c r="D46" i="18"/>
  <c r="C46" i="18"/>
  <c r="B46" i="18"/>
  <c r="A46" i="18"/>
  <c r="E45" i="18"/>
  <c r="AL45" i="18" s="1"/>
  <c r="D45" i="18"/>
  <c r="C45" i="18"/>
  <c r="B45" i="18"/>
  <c r="A45" i="18"/>
  <c r="E44" i="18"/>
  <c r="V44" i="18" s="1"/>
  <c r="D44" i="18"/>
  <c r="C44" i="18"/>
  <c r="B44" i="18"/>
  <c r="A44" i="18"/>
  <c r="E43" i="18"/>
  <c r="Q43" i="18" s="1"/>
  <c r="D43" i="18"/>
  <c r="C43" i="18"/>
  <c r="B43" i="18"/>
  <c r="A43" i="18"/>
  <c r="E42" i="18"/>
  <c r="Q42" i="18" s="1"/>
  <c r="D42" i="18"/>
  <c r="C42" i="18"/>
  <c r="B42" i="18"/>
  <c r="A42" i="18"/>
  <c r="E41" i="18"/>
  <c r="D41" i="18"/>
  <c r="C41" i="18"/>
  <c r="B41" i="18"/>
  <c r="A41" i="18"/>
  <c r="E40" i="18"/>
  <c r="AL40" i="18" s="1"/>
  <c r="D40" i="18"/>
  <c r="C40" i="18"/>
  <c r="B40" i="18"/>
  <c r="A40" i="18"/>
  <c r="E39" i="18"/>
  <c r="AB39" i="18" s="1"/>
  <c r="D39" i="18"/>
  <c r="C39" i="18"/>
  <c r="B39" i="18"/>
  <c r="A39" i="18"/>
  <c r="E38" i="18"/>
  <c r="D38" i="18"/>
  <c r="C38" i="18"/>
  <c r="B38" i="18"/>
  <c r="A38" i="18"/>
  <c r="E37" i="18"/>
  <c r="D37" i="18"/>
  <c r="C37" i="18"/>
  <c r="B37" i="18"/>
  <c r="A37" i="18"/>
  <c r="E36" i="18"/>
  <c r="AL36" i="18" s="1"/>
  <c r="D36" i="18"/>
  <c r="C36" i="18"/>
  <c r="B36" i="18"/>
  <c r="A36" i="18"/>
  <c r="E35" i="18"/>
  <c r="AL35" i="18" s="1"/>
  <c r="D35" i="18"/>
  <c r="C35" i="18"/>
  <c r="B35" i="18"/>
  <c r="A35" i="18"/>
  <c r="E34" i="18"/>
  <c r="AB34" i="18" s="1"/>
  <c r="D34" i="18"/>
  <c r="C34" i="18"/>
  <c r="B34" i="18"/>
  <c r="A34" i="18"/>
  <c r="E33" i="18"/>
  <c r="V33" i="18" s="1"/>
  <c r="D33" i="18"/>
  <c r="C33" i="18"/>
  <c r="B33" i="18"/>
  <c r="A33" i="18"/>
  <c r="E32" i="18"/>
  <c r="V32" i="18" s="1"/>
  <c r="D32" i="18"/>
  <c r="C32" i="18"/>
  <c r="B32" i="18"/>
  <c r="A32" i="18"/>
  <c r="E31" i="18"/>
  <c r="AL31" i="18" s="1"/>
  <c r="D31" i="18"/>
  <c r="C31" i="18"/>
  <c r="B31" i="18"/>
  <c r="A31" i="18"/>
  <c r="E30" i="18"/>
  <c r="AL30" i="18" s="1"/>
  <c r="D30" i="18"/>
  <c r="C30" i="18"/>
  <c r="B30" i="18"/>
  <c r="A30" i="18"/>
  <c r="E29" i="18"/>
  <c r="AL29" i="18" s="1"/>
  <c r="D29" i="18"/>
  <c r="C29" i="18"/>
  <c r="B29" i="18"/>
  <c r="A29" i="18"/>
  <c r="E28" i="18"/>
  <c r="Q28" i="18" s="1"/>
  <c r="D28" i="18"/>
  <c r="C28" i="18"/>
  <c r="B28" i="18"/>
  <c r="A28" i="18"/>
  <c r="E27" i="18"/>
  <c r="AL27" i="18" s="1"/>
  <c r="D27" i="18"/>
  <c r="C27" i="18"/>
  <c r="B27" i="18"/>
  <c r="A27" i="18"/>
  <c r="E26" i="18"/>
  <c r="V26" i="18" s="1"/>
  <c r="D26" i="18"/>
  <c r="C26" i="18"/>
  <c r="B26" i="18"/>
  <c r="A26" i="18"/>
  <c r="E25" i="18"/>
  <c r="AB25" i="18" s="1"/>
  <c r="D25" i="18"/>
  <c r="C25" i="18"/>
  <c r="B25" i="18"/>
  <c r="A25" i="18"/>
  <c r="E24" i="18"/>
  <c r="G24" i="18" s="1"/>
  <c r="D24" i="18"/>
  <c r="C24" i="18"/>
  <c r="B24" i="18"/>
  <c r="A24" i="18"/>
  <c r="E23" i="18"/>
  <c r="Q23" i="18" s="1"/>
  <c r="D23" i="18"/>
  <c r="C23" i="18"/>
  <c r="B23" i="18"/>
  <c r="A23" i="18"/>
  <c r="E22" i="18"/>
  <c r="AL22" i="18" s="1"/>
  <c r="D22" i="18"/>
  <c r="C22" i="18"/>
  <c r="B22" i="18"/>
  <c r="A22" i="18"/>
  <c r="E21" i="18"/>
  <c r="V21" i="18" s="1"/>
  <c r="D21" i="18"/>
  <c r="C21" i="18"/>
  <c r="B21" i="18"/>
  <c r="A21" i="18"/>
  <c r="E20" i="18"/>
  <c r="AB20" i="18" s="1"/>
  <c r="D20" i="18"/>
  <c r="C20" i="18"/>
  <c r="B20" i="18"/>
  <c r="A20" i="18"/>
  <c r="E19" i="18"/>
  <c r="V19" i="18" s="1"/>
  <c r="D19" i="18"/>
  <c r="C19" i="18"/>
  <c r="B19" i="18"/>
  <c r="A19" i="18"/>
  <c r="E18" i="18"/>
  <c r="AL18" i="18" s="1"/>
  <c r="D18" i="18"/>
  <c r="C18" i="18"/>
  <c r="B18" i="18"/>
  <c r="A18" i="18"/>
  <c r="E17" i="18"/>
  <c r="AB17" i="18" s="1"/>
  <c r="D17" i="18"/>
  <c r="C17" i="18"/>
  <c r="B17" i="18"/>
  <c r="A17" i="18"/>
  <c r="E16" i="18"/>
  <c r="AL16" i="18" s="1"/>
  <c r="D16" i="18"/>
  <c r="C16" i="18"/>
  <c r="B16" i="18"/>
  <c r="A16" i="18"/>
  <c r="AL15" i="18"/>
  <c r="E15" i="18"/>
  <c r="L15" i="18" s="1"/>
  <c r="D15" i="18"/>
  <c r="C15" i="18"/>
  <c r="B15" i="18"/>
  <c r="A15" i="18"/>
  <c r="E14" i="18"/>
  <c r="AL14" i="18" s="1"/>
  <c r="D14" i="18"/>
  <c r="C14" i="18"/>
  <c r="B14" i="18"/>
  <c r="A14" i="18"/>
  <c r="E13" i="18"/>
  <c r="L13" i="18" s="1"/>
  <c r="D13" i="18"/>
  <c r="C13" i="18"/>
  <c r="B13" i="18"/>
  <c r="A13" i="18"/>
  <c r="L10" i="18"/>
  <c r="G10" i="18"/>
  <c r="E10" i="18"/>
  <c r="L9" i="18"/>
  <c r="L8" i="18"/>
  <c r="E8" i="18"/>
  <c r="L7" i="18"/>
  <c r="E7" i="18"/>
  <c r="L6" i="18"/>
  <c r="E6" i="18"/>
  <c r="A4" i="18"/>
  <c r="A3" i="18"/>
  <c r="A2" i="18"/>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M10" i="17"/>
  <c r="G10" i="17"/>
  <c r="E10" i="17"/>
  <c r="M9" i="17"/>
  <c r="M8" i="17"/>
  <c r="E8" i="17"/>
  <c r="M7" i="17"/>
  <c r="E7" i="17"/>
  <c r="M6" i="17"/>
  <c r="E6" i="17"/>
  <c r="A4" i="17"/>
  <c r="A3" i="17"/>
  <c r="A2" i="17"/>
  <c r="G62" i="16"/>
  <c r="D62" i="16"/>
  <c r="W62" i="16" s="1"/>
  <c r="C62" i="16"/>
  <c r="B62" i="16"/>
  <c r="A62" i="16"/>
  <c r="G61" i="16"/>
  <c r="D61" i="16"/>
  <c r="W61" i="16" s="1"/>
  <c r="C61" i="16"/>
  <c r="B61" i="16"/>
  <c r="A61" i="16"/>
  <c r="G60" i="16"/>
  <c r="D60" i="16"/>
  <c r="W60" i="16" s="1"/>
  <c r="C60" i="16"/>
  <c r="B60" i="16"/>
  <c r="A60" i="16"/>
  <c r="G59" i="16"/>
  <c r="D59" i="16"/>
  <c r="W59" i="16" s="1"/>
  <c r="C59" i="16"/>
  <c r="B59" i="16"/>
  <c r="A59" i="16"/>
  <c r="G58" i="16"/>
  <c r="D58" i="16"/>
  <c r="W58" i="16" s="1"/>
  <c r="C58" i="16"/>
  <c r="B58" i="16"/>
  <c r="A58" i="16"/>
  <c r="G57" i="16"/>
  <c r="D57" i="16"/>
  <c r="W57" i="16" s="1"/>
  <c r="C57" i="16"/>
  <c r="B57" i="16"/>
  <c r="A57" i="16"/>
  <c r="G56" i="16"/>
  <c r="D56" i="16"/>
  <c r="W56" i="16" s="1"/>
  <c r="C56" i="16"/>
  <c r="B56" i="16"/>
  <c r="A56" i="16"/>
  <c r="G55" i="16"/>
  <c r="D55" i="16"/>
  <c r="W55" i="16" s="1"/>
  <c r="C55" i="16"/>
  <c r="B55" i="16"/>
  <c r="A55" i="16"/>
  <c r="G54" i="16"/>
  <c r="D54" i="16"/>
  <c r="W54" i="16" s="1"/>
  <c r="C54" i="16"/>
  <c r="B54" i="16"/>
  <c r="A54" i="16"/>
  <c r="G53" i="16"/>
  <c r="D53" i="16"/>
  <c r="W53" i="16" s="1"/>
  <c r="C53" i="16"/>
  <c r="B53" i="16"/>
  <c r="A53" i="16"/>
  <c r="G52" i="16"/>
  <c r="D52" i="16"/>
  <c r="W52" i="16" s="1"/>
  <c r="C52" i="16"/>
  <c r="B52" i="16"/>
  <c r="A52" i="16"/>
  <c r="G51" i="16"/>
  <c r="D51" i="16"/>
  <c r="W51" i="16" s="1"/>
  <c r="C51" i="16"/>
  <c r="B51" i="16"/>
  <c r="A51" i="16"/>
  <c r="G50" i="16"/>
  <c r="D50" i="16"/>
  <c r="W50" i="16" s="1"/>
  <c r="C50" i="16"/>
  <c r="B50" i="16"/>
  <c r="A50" i="16"/>
  <c r="G49" i="16"/>
  <c r="D49" i="16"/>
  <c r="W49" i="16" s="1"/>
  <c r="C49" i="16"/>
  <c r="B49" i="16"/>
  <c r="A49" i="16"/>
  <c r="G48" i="16"/>
  <c r="D48" i="16"/>
  <c r="W48" i="16" s="1"/>
  <c r="C48" i="16"/>
  <c r="B48" i="16"/>
  <c r="A48" i="16"/>
  <c r="G47" i="16"/>
  <c r="D47" i="16"/>
  <c r="W47" i="16" s="1"/>
  <c r="C47" i="16"/>
  <c r="B47" i="16"/>
  <c r="A47" i="16"/>
  <c r="G46" i="16"/>
  <c r="D46" i="16"/>
  <c r="W46" i="16" s="1"/>
  <c r="C46" i="16"/>
  <c r="B46" i="16"/>
  <c r="A46" i="16"/>
  <c r="G45" i="16"/>
  <c r="D45" i="16"/>
  <c r="W45" i="16" s="1"/>
  <c r="C45" i="16"/>
  <c r="B45" i="16"/>
  <c r="A45" i="16"/>
  <c r="G44" i="16"/>
  <c r="D44" i="16"/>
  <c r="W44" i="16" s="1"/>
  <c r="C44" i="16"/>
  <c r="B44" i="16"/>
  <c r="A44" i="16"/>
  <c r="G43" i="16"/>
  <c r="D43" i="16"/>
  <c r="W43" i="16" s="1"/>
  <c r="C43" i="16"/>
  <c r="B43" i="16"/>
  <c r="A43" i="16"/>
  <c r="G42" i="16"/>
  <c r="D42" i="16"/>
  <c r="W42" i="16" s="1"/>
  <c r="C42" i="16"/>
  <c r="B42" i="16"/>
  <c r="A42" i="16"/>
  <c r="G41" i="16"/>
  <c r="D41" i="16"/>
  <c r="W41" i="16" s="1"/>
  <c r="C41" i="16"/>
  <c r="B41" i="16"/>
  <c r="A41" i="16"/>
  <c r="G40" i="16"/>
  <c r="D40" i="16"/>
  <c r="W40" i="16" s="1"/>
  <c r="C40" i="16"/>
  <c r="B40" i="16"/>
  <c r="A40" i="16"/>
  <c r="G39" i="16"/>
  <c r="D39" i="16"/>
  <c r="W39" i="16" s="1"/>
  <c r="C39" i="16"/>
  <c r="B39" i="16"/>
  <c r="A39" i="16"/>
  <c r="G38" i="16"/>
  <c r="D38" i="16"/>
  <c r="W38" i="16" s="1"/>
  <c r="C38" i="16"/>
  <c r="B38" i="16"/>
  <c r="A38" i="16"/>
  <c r="G37" i="16"/>
  <c r="D37" i="16"/>
  <c r="W37" i="16" s="1"/>
  <c r="C37" i="16"/>
  <c r="B37" i="16"/>
  <c r="A37" i="16"/>
  <c r="G36" i="16"/>
  <c r="D36" i="16"/>
  <c r="W36" i="16" s="1"/>
  <c r="C36" i="16"/>
  <c r="B36" i="16"/>
  <c r="A36" i="16"/>
  <c r="G35" i="16"/>
  <c r="D35" i="16"/>
  <c r="W35" i="16" s="1"/>
  <c r="C35" i="16"/>
  <c r="B35" i="16"/>
  <c r="A35" i="16"/>
  <c r="G34" i="16"/>
  <c r="D34" i="16"/>
  <c r="W34" i="16" s="1"/>
  <c r="C34" i="16"/>
  <c r="B34" i="16"/>
  <c r="A34" i="16"/>
  <c r="G33" i="16"/>
  <c r="D33" i="16"/>
  <c r="W33" i="16" s="1"/>
  <c r="C33" i="16"/>
  <c r="B33" i="16"/>
  <c r="A33" i="16"/>
  <c r="G32" i="16"/>
  <c r="D32" i="16"/>
  <c r="W32" i="16" s="1"/>
  <c r="C32" i="16"/>
  <c r="B32" i="16"/>
  <c r="A32" i="16"/>
  <c r="G31" i="16"/>
  <c r="D31" i="16"/>
  <c r="W31" i="16" s="1"/>
  <c r="C31" i="16"/>
  <c r="B31" i="16"/>
  <c r="A31" i="16"/>
  <c r="G30" i="16"/>
  <c r="D30" i="16"/>
  <c r="W30" i="16" s="1"/>
  <c r="C30" i="16"/>
  <c r="B30" i="16"/>
  <c r="A30" i="16"/>
  <c r="G29" i="16"/>
  <c r="D29" i="16"/>
  <c r="W29" i="16" s="1"/>
  <c r="C29" i="16"/>
  <c r="B29" i="16"/>
  <c r="A29" i="16"/>
  <c r="G28" i="16"/>
  <c r="D28" i="16"/>
  <c r="W28" i="16" s="1"/>
  <c r="C28" i="16"/>
  <c r="B28" i="16"/>
  <c r="A28" i="16"/>
  <c r="G27" i="16"/>
  <c r="D27" i="16"/>
  <c r="W27" i="16" s="1"/>
  <c r="C27" i="16"/>
  <c r="B27" i="16"/>
  <c r="A27" i="16"/>
  <c r="G26" i="16"/>
  <c r="D26" i="16"/>
  <c r="W26" i="16" s="1"/>
  <c r="C26" i="16"/>
  <c r="B26" i="16"/>
  <c r="A26" i="16"/>
  <c r="G25" i="16"/>
  <c r="D25" i="16"/>
  <c r="W25" i="16" s="1"/>
  <c r="C25" i="16"/>
  <c r="B25" i="16"/>
  <c r="A25" i="16"/>
  <c r="G24" i="16"/>
  <c r="D24" i="16"/>
  <c r="W24" i="16" s="1"/>
  <c r="C24" i="16"/>
  <c r="B24" i="16"/>
  <c r="A24" i="16"/>
  <c r="G23" i="16"/>
  <c r="D23" i="16"/>
  <c r="W23" i="16" s="1"/>
  <c r="C23" i="16"/>
  <c r="B23" i="16"/>
  <c r="A23" i="16"/>
  <c r="G22" i="16"/>
  <c r="D22" i="16"/>
  <c r="W22" i="16" s="1"/>
  <c r="C22" i="16"/>
  <c r="B22" i="16"/>
  <c r="A22" i="16"/>
  <c r="G21" i="16"/>
  <c r="D21" i="16"/>
  <c r="W21" i="16" s="1"/>
  <c r="C21" i="16"/>
  <c r="B21" i="16"/>
  <c r="A21" i="16"/>
  <c r="G20" i="16"/>
  <c r="D20" i="16"/>
  <c r="W20" i="16" s="1"/>
  <c r="C20" i="16"/>
  <c r="B20" i="16"/>
  <c r="A20" i="16"/>
  <c r="G19" i="16"/>
  <c r="D19" i="16"/>
  <c r="W19" i="16" s="1"/>
  <c r="C19" i="16"/>
  <c r="B19" i="16"/>
  <c r="A19" i="16"/>
  <c r="G18" i="16"/>
  <c r="D18" i="16"/>
  <c r="W18" i="16" s="1"/>
  <c r="C18" i="16"/>
  <c r="B18" i="16"/>
  <c r="A18" i="16"/>
  <c r="G17" i="16"/>
  <c r="D17" i="16"/>
  <c r="W17" i="16" s="1"/>
  <c r="C17" i="16"/>
  <c r="B17" i="16"/>
  <c r="A17" i="16"/>
  <c r="G16" i="16"/>
  <c r="D16" i="16"/>
  <c r="W16" i="16" s="1"/>
  <c r="C16" i="16"/>
  <c r="B16" i="16"/>
  <c r="A16" i="16"/>
  <c r="G15" i="16"/>
  <c r="D15" i="16"/>
  <c r="W15" i="16" s="1"/>
  <c r="C15" i="16"/>
  <c r="B15" i="16"/>
  <c r="A15" i="16"/>
  <c r="G14" i="16"/>
  <c r="D14" i="16"/>
  <c r="W14" i="16" s="1"/>
  <c r="C14" i="16"/>
  <c r="B14" i="16"/>
  <c r="A14" i="16"/>
  <c r="G13" i="16"/>
  <c r="D13" i="16"/>
  <c r="W13" i="16" s="1"/>
  <c r="C13" i="16"/>
  <c r="B13" i="16"/>
  <c r="A13" i="16"/>
  <c r="J10" i="16"/>
  <c r="G10" i="16"/>
  <c r="E10" i="16"/>
  <c r="J9" i="16"/>
  <c r="J8" i="16"/>
  <c r="E8" i="16"/>
  <c r="J7" i="16"/>
  <c r="E7" i="16"/>
  <c r="J6" i="16"/>
  <c r="E6" i="16"/>
  <c r="A4" i="16"/>
  <c r="A3" i="16"/>
  <c r="A2" i="16"/>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E62" i="14"/>
  <c r="D62" i="14"/>
  <c r="C62" i="14"/>
  <c r="B62" i="14"/>
  <c r="A62" i="14"/>
  <c r="E61" i="14"/>
  <c r="D61" i="14"/>
  <c r="C61" i="14"/>
  <c r="B61" i="14"/>
  <c r="A61" i="14"/>
  <c r="E60" i="14"/>
  <c r="D60" i="14"/>
  <c r="C60" i="14"/>
  <c r="B60" i="14"/>
  <c r="A60" i="14"/>
  <c r="E59" i="14"/>
  <c r="D59" i="14"/>
  <c r="C59" i="14"/>
  <c r="B59" i="14"/>
  <c r="A59" i="14"/>
  <c r="E58" i="14"/>
  <c r="D58" i="14"/>
  <c r="C58" i="14"/>
  <c r="B58" i="14"/>
  <c r="A58" i="14"/>
  <c r="E57" i="14"/>
  <c r="D57" i="14"/>
  <c r="C57" i="14"/>
  <c r="B57" i="14"/>
  <c r="A57" i="14"/>
  <c r="E56" i="14"/>
  <c r="D56" i="14"/>
  <c r="C56" i="14"/>
  <c r="B56" i="14"/>
  <c r="A56" i="14"/>
  <c r="E55" i="14"/>
  <c r="D55" i="14"/>
  <c r="C55" i="14"/>
  <c r="B55" i="14"/>
  <c r="A55" i="14"/>
  <c r="E54" i="14"/>
  <c r="D54" i="14"/>
  <c r="C54" i="14"/>
  <c r="B54" i="14"/>
  <c r="A54" i="14"/>
  <c r="E53" i="14"/>
  <c r="D53" i="14"/>
  <c r="C53" i="14"/>
  <c r="B53" i="14"/>
  <c r="A53" i="14"/>
  <c r="E52" i="14"/>
  <c r="D52" i="14"/>
  <c r="C52" i="14"/>
  <c r="B52" i="14"/>
  <c r="A52" i="14"/>
  <c r="E51" i="14"/>
  <c r="D51" i="14"/>
  <c r="C51" i="14"/>
  <c r="B51" i="14"/>
  <c r="A51" i="14"/>
  <c r="E50" i="14"/>
  <c r="D50" i="14"/>
  <c r="C50" i="14"/>
  <c r="B50" i="14"/>
  <c r="A50" i="14"/>
  <c r="E49" i="14"/>
  <c r="D49" i="14"/>
  <c r="C49" i="14"/>
  <c r="B49" i="14"/>
  <c r="A49" i="14"/>
  <c r="E48" i="14"/>
  <c r="D48" i="14"/>
  <c r="C48" i="14"/>
  <c r="B48" i="14"/>
  <c r="A48" i="14"/>
  <c r="E47" i="14"/>
  <c r="D47" i="14"/>
  <c r="C47" i="14"/>
  <c r="B47" i="14"/>
  <c r="A47" i="14"/>
  <c r="E46" i="14"/>
  <c r="D46" i="14"/>
  <c r="C46" i="14"/>
  <c r="B46" i="14"/>
  <c r="A46" i="14"/>
  <c r="E45" i="14"/>
  <c r="D45" i="14"/>
  <c r="C45" i="14"/>
  <c r="B45" i="14"/>
  <c r="A45" i="14"/>
  <c r="E44" i="14"/>
  <c r="D44" i="14"/>
  <c r="C44" i="14"/>
  <c r="B44" i="14"/>
  <c r="A44" i="14"/>
  <c r="E43" i="14"/>
  <c r="D43" i="14"/>
  <c r="C43" i="14"/>
  <c r="B43" i="14"/>
  <c r="A43" i="14"/>
  <c r="E42" i="14"/>
  <c r="D42" i="14"/>
  <c r="C42" i="14"/>
  <c r="B42" i="14"/>
  <c r="A42" i="14"/>
  <c r="E41" i="14"/>
  <c r="D41" i="14"/>
  <c r="C41" i="14"/>
  <c r="B41" i="14"/>
  <c r="A41" i="14"/>
  <c r="E40" i="14"/>
  <c r="D40" i="14"/>
  <c r="C40" i="14"/>
  <c r="B40" i="14"/>
  <c r="A40" i="14"/>
  <c r="E39" i="14"/>
  <c r="D39" i="14"/>
  <c r="C39" i="14"/>
  <c r="B39" i="14"/>
  <c r="A39" i="14"/>
  <c r="E38" i="14"/>
  <c r="D38" i="14"/>
  <c r="C38" i="14"/>
  <c r="B38" i="14"/>
  <c r="A38" i="14"/>
  <c r="E37" i="14"/>
  <c r="D37" i="14"/>
  <c r="C37" i="14"/>
  <c r="B37" i="14"/>
  <c r="A37" i="14"/>
  <c r="E36" i="14"/>
  <c r="D36" i="14"/>
  <c r="C36" i="14"/>
  <c r="B36" i="14"/>
  <c r="A36" i="14"/>
  <c r="E35" i="14"/>
  <c r="D35" i="14"/>
  <c r="C35" i="14"/>
  <c r="B35" i="14"/>
  <c r="A35" i="14"/>
  <c r="E34" i="14"/>
  <c r="D34" i="14"/>
  <c r="C34" i="14"/>
  <c r="B34" i="14"/>
  <c r="A34" i="14"/>
  <c r="E33" i="14"/>
  <c r="D33" i="14"/>
  <c r="C33" i="14"/>
  <c r="B33" i="14"/>
  <c r="A33" i="14"/>
  <c r="E32" i="14"/>
  <c r="D32" i="14"/>
  <c r="C32" i="14"/>
  <c r="B32" i="14"/>
  <c r="A32" i="14"/>
  <c r="E31" i="14"/>
  <c r="D31" i="14"/>
  <c r="C31" i="14"/>
  <c r="B31" i="14"/>
  <c r="A31" i="14"/>
  <c r="E30" i="14"/>
  <c r="D30" i="14"/>
  <c r="C30" i="14"/>
  <c r="B30" i="14"/>
  <c r="A30" i="14"/>
  <c r="E29" i="14"/>
  <c r="D29" i="14"/>
  <c r="C29" i="14"/>
  <c r="B29" i="14"/>
  <c r="A29" i="14"/>
  <c r="E28" i="14"/>
  <c r="D28" i="14"/>
  <c r="C28" i="14"/>
  <c r="B28" i="14"/>
  <c r="A28" i="14"/>
  <c r="E27" i="14"/>
  <c r="D27" i="14"/>
  <c r="C27" i="14"/>
  <c r="B27" i="14"/>
  <c r="A27" i="14"/>
  <c r="E26" i="14"/>
  <c r="D26" i="14"/>
  <c r="C26" i="14"/>
  <c r="B26" i="14"/>
  <c r="A26" i="14"/>
  <c r="E25" i="14"/>
  <c r="D25" i="14"/>
  <c r="C25" i="14"/>
  <c r="B25" i="14"/>
  <c r="A25" i="14"/>
  <c r="E24" i="14"/>
  <c r="D24" i="14"/>
  <c r="C24" i="14"/>
  <c r="B24" i="14"/>
  <c r="A24" i="14"/>
  <c r="E23" i="14"/>
  <c r="D23" i="14"/>
  <c r="C23" i="14"/>
  <c r="B23" i="14"/>
  <c r="A23" i="14"/>
  <c r="E22" i="14"/>
  <c r="D22" i="14"/>
  <c r="C22" i="14"/>
  <c r="B22" i="14"/>
  <c r="A22" i="14"/>
  <c r="E21" i="14"/>
  <c r="D21" i="14"/>
  <c r="C21" i="14"/>
  <c r="B21" i="14"/>
  <c r="A21" i="14"/>
  <c r="E20" i="14"/>
  <c r="D20" i="14"/>
  <c r="C20" i="14"/>
  <c r="B20" i="14"/>
  <c r="A20" i="14"/>
  <c r="E19" i="14"/>
  <c r="D19" i="14"/>
  <c r="C19" i="14"/>
  <c r="B19" i="14"/>
  <c r="A19" i="14"/>
  <c r="E18" i="14"/>
  <c r="D18" i="14"/>
  <c r="C18" i="14"/>
  <c r="B18" i="14"/>
  <c r="A18" i="14"/>
  <c r="E17" i="14"/>
  <c r="D17" i="14"/>
  <c r="C17" i="14"/>
  <c r="B17" i="14"/>
  <c r="A17" i="14"/>
  <c r="E16" i="14"/>
  <c r="D16" i="14"/>
  <c r="C16" i="14"/>
  <c r="B16" i="14"/>
  <c r="A16" i="14"/>
  <c r="E15" i="14"/>
  <c r="D15" i="14"/>
  <c r="C15" i="14"/>
  <c r="B15" i="14"/>
  <c r="A15" i="14"/>
  <c r="E14" i="14"/>
  <c r="D14" i="14"/>
  <c r="C14" i="14"/>
  <c r="B14" i="14"/>
  <c r="A14" i="14"/>
  <c r="E13" i="14"/>
  <c r="D13" i="14"/>
  <c r="C13" i="14"/>
  <c r="B13" i="14"/>
  <c r="A13" i="14"/>
  <c r="P10" i="14"/>
  <c r="G10" i="14"/>
  <c r="E10" i="14"/>
  <c r="P9" i="14"/>
  <c r="P8" i="14"/>
  <c r="E8" i="14"/>
  <c r="P7" i="14"/>
  <c r="E7" i="14"/>
  <c r="P6" i="14"/>
  <c r="E6" i="14"/>
  <c r="A4" i="14"/>
  <c r="A3" i="14"/>
  <c r="A2" i="14"/>
  <c r="G62" i="13"/>
  <c r="D62" i="13"/>
  <c r="C62" i="13"/>
  <c r="B62" i="13"/>
  <c r="A62" i="13"/>
  <c r="G61" i="13"/>
  <c r="D61" i="13"/>
  <c r="C61" i="13"/>
  <c r="B61" i="13"/>
  <c r="A61" i="13"/>
  <c r="G60" i="13"/>
  <c r="D60" i="13"/>
  <c r="C60" i="13"/>
  <c r="B60" i="13"/>
  <c r="A60" i="13"/>
  <c r="G59" i="13"/>
  <c r="D59" i="13"/>
  <c r="C59" i="13"/>
  <c r="B59" i="13"/>
  <c r="A59" i="13"/>
  <c r="G58" i="13"/>
  <c r="D58" i="13"/>
  <c r="C58" i="13"/>
  <c r="B58" i="13"/>
  <c r="A58" i="13"/>
  <c r="G57" i="13"/>
  <c r="D57" i="13"/>
  <c r="C57" i="13"/>
  <c r="B57" i="13"/>
  <c r="A57" i="13"/>
  <c r="G56" i="13"/>
  <c r="D56" i="13"/>
  <c r="C56" i="13"/>
  <c r="B56" i="13"/>
  <c r="A56" i="13"/>
  <c r="G55" i="13"/>
  <c r="D55" i="13"/>
  <c r="C55" i="13"/>
  <c r="B55" i="13"/>
  <c r="A55" i="13"/>
  <c r="G54" i="13"/>
  <c r="D54" i="13"/>
  <c r="C54" i="13"/>
  <c r="B54" i="13"/>
  <c r="A54" i="13"/>
  <c r="G53" i="13"/>
  <c r="D53" i="13"/>
  <c r="C53" i="13"/>
  <c r="B53" i="13"/>
  <c r="A53" i="13"/>
  <c r="G52" i="13"/>
  <c r="D52" i="13"/>
  <c r="C52" i="13"/>
  <c r="B52" i="13"/>
  <c r="A52" i="13"/>
  <c r="G51" i="13"/>
  <c r="D51" i="13"/>
  <c r="C51" i="13"/>
  <c r="B51" i="13"/>
  <c r="A51" i="13"/>
  <c r="G50" i="13"/>
  <c r="D50" i="13"/>
  <c r="C50" i="13"/>
  <c r="B50" i="13"/>
  <c r="A50" i="13"/>
  <c r="G49" i="13"/>
  <c r="D49" i="13"/>
  <c r="C49" i="13"/>
  <c r="B49" i="13"/>
  <c r="A49" i="13"/>
  <c r="G48" i="13"/>
  <c r="D48" i="13"/>
  <c r="C48" i="13"/>
  <c r="B48" i="13"/>
  <c r="A48" i="13"/>
  <c r="G47" i="13"/>
  <c r="D47" i="13"/>
  <c r="C47" i="13"/>
  <c r="B47" i="13"/>
  <c r="A47" i="13"/>
  <c r="G46" i="13"/>
  <c r="D46" i="13"/>
  <c r="C46" i="13"/>
  <c r="B46" i="13"/>
  <c r="A46" i="13"/>
  <c r="G45" i="13"/>
  <c r="D45" i="13"/>
  <c r="C45" i="13"/>
  <c r="B45" i="13"/>
  <c r="A45" i="13"/>
  <c r="G44" i="13"/>
  <c r="D44" i="13"/>
  <c r="C44" i="13"/>
  <c r="B44" i="13"/>
  <c r="A44" i="13"/>
  <c r="G43" i="13"/>
  <c r="D43" i="13"/>
  <c r="C43" i="13"/>
  <c r="B43" i="13"/>
  <c r="A43" i="13"/>
  <c r="G42" i="13"/>
  <c r="D42" i="13"/>
  <c r="C42" i="13"/>
  <c r="B42" i="13"/>
  <c r="A42" i="13"/>
  <c r="G41" i="13"/>
  <c r="D41" i="13"/>
  <c r="C41" i="13"/>
  <c r="B41" i="13"/>
  <c r="A41" i="13"/>
  <c r="G40" i="13"/>
  <c r="D40" i="13"/>
  <c r="C40" i="13"/>
  <c r="B40" i="13"/>
  <c r="A40" i="13"/>
  <c r="G39" i="13"/>
  <c r="D39" i="13"/>
  <c r="C39" i="13"/>
  <c r="B39" i="13"/>
  <c r="A39" i="13"/>
  <c r="G38" i="13"/>
  <c r="D38" i="13"/>
  <c r="C38" i="13"/>
  <c r="B38" i="13"/>
  <c r="A38" i="13"/>
  <c r="G37" i="13"/>
  <c r="D37" i="13"/>
  <c r="C37" i="13"/>
  <c r="B37" i="13"/>
  <c r="A37" i="13"/>
  <c r="G36" i="13"/>
  <c r="D36" i="13"/>
  <c r="C36" i="13"/>
  <c r="B36" i="13"/>
  <c r="A36" i="13"/>
  <c r="G35" i="13"/>
  <c r="D35" i="13"/>
  <c r="C35" i="13"/>
  <c r="B35" i="13"/>
  <c r="A35" i="13"/>
  <c r="G34" i="13"/>
  <c r="D34" i="13"/>
  <c r="C34" i="13"/>
  <c r="B34" i="13"/>
  <c r="A34" i="13"/>
  <c r="G33" i="13"/>
  <c r="D33" i="13"/>
  <c r="C33" i="13"/>
  <c r="B33" i="13"/>
  <c r="A33" i="13"/>
  <c r="G32" i="13"/>
  <c r="D32" i="13"/>
  <c r="C32" i="13"/>
  <c r="B32" i="13"/>
  <c r="A32" i="13"/>
  <c r="G31" i="13"/>
  <c r="D31" i="13"/>
  <c r="C31" i="13"/>
  <c r="B31" i="13"/>
  <c r="A31" i="13"/>
  <c r="G30" i="13"/>
  <c r="D30" i="13"/>
  <c r="C30" i="13"/>
  <c r="B30" i="13"/>
  <c r="A30" i="13"/>
  <c r="G29" i="13"/>
  <c r="D29" i="13"/>
  <c r="C29" i="13"/>
  <c r="B29" i="13"/>
  <c r="A29" i="13"/>
  <c r="G28" i="13"/>
  <c r="D28" i="13"/>
  <c r="C28" i="13"/>
  <c r="B28" i="13"/>
  <c r="A28" i="13"/>
  <c r="G27" i="13"/>
  <c r="D27" i="13"/>
  <c r="C27" i="13"/>
  <c r="B27" i="13"/>
  <c r="A27" i="13"/>
  <c r="G26" i="13"/>
  <c r="D26" i="13"/>
  <c r="C26" i="13"/>
  <c r="B26" i="13"/>
  <c r="A26" i="13"/>
  <c r="G25" i="13"/>
  <c r="D25" i="13"/>
  <c r="C25" i="13"/>
  <c r="B25" i="13"/>
  <c r="A25" i="13"/>
  <c r="G24" i="13"/>
  <c r="D24" i="13"/>
  <c r="C24" i="13"/>
  <c r="B24" i="13"/>
  <c r="A24" i="13"/>
  <c r="G23" i="13"/>
  <c r="D23" i="13"/>
  <c r="C23" i="13"/>
  <c r="B23" i="13"/>
  <c r="A23" i="13"/>
  <c r="G22" i="13"/>
  <c r="D22" i="13"/>
  <c r="C22" i="13"/>
  <c r="B22" i="13"/>
  <c r="A22" i="13"/>
  <c r="G21" i="13"/>
  <c r="D21" i="13"/>
  <c r="C21" i="13"/>
  <c r="B21" i="13"/>
  <c r="A21" i="13"/>
  <c r="G20" i="13"/>
  <c r="D20" i="13"/>
  <c r="C20" i="13"/>
  <c r="B20" i="13"/>
  <c r="A20" i="13"/>
  <c r="G19" i="13"/>
  <c r="D19" i="13"/>
  <c r="C19" i="13"/>
  <c r="B19" i="13"/>
  <c r="A19" i="13"/>
  <c r="G18" i="13"/>
  <c r="D18" i="13"/>
  <c r="C18" i="13"/>
  <c r="B18" i="13"/>
  <c r="A18" i="13"/>
  <c r="G17" i="13"/>
  <c r="D17" i="13"/>
  <c r="C17" i="13"/>
  <c r="B17" i="13"/>
  <c r="A17" i="13"/>
  <c r="G16" i="13"/>
  <c r="D16" i="13"/>
  <c r="C16" i="13"/>
  <c r="B16" i="13"/>
  <c r="A16" i="13"/>
  <c r="G15" i="13"/>
  <c r="D15" i="13"/>
  <c r="C15" i="13"/>
  <c r="B15" i="13"/>
  <c r="A15" i="13"/>
  <c r="G14" i="13"/>
  <c r="D14" i="13"/>
  <c r="C14" i="13"/>
  <c r="B14" i="13"/>
  <c r="A14" i="13"/>
  <c r="G13" i="13"/>
  <c r="D13" i="13"/>
  <c r="C13" i="13"/>
  <c r="B13" i="13"/>
  <c r="A13" i="13"/>
  <c r="BW10" i="13"/>
  <c r="BN10" i="13"/>
  <c r="BL10" i="13"/>
  <c r="BW9" i="13"/>
  <c r="BW8" i="13"/>
  <c r="BL8" i="13"/>
  <c r="BW7" i="13"/>
  <c r="BL7" i="13"/>
  <c r="BW6" i="13"/>
  <c r="BL6" i="13"/>
  <c r="BH4" i="13"/>
  <c r="BH3" i="13"/>
  <c r="BH2" i="13"/>
  <c r="E62" i="11"/>
  <c r="L62" i="11" s="1"/>
  <c r="D62" i="11"/>
  <c r="C62" i="11"/>
  <c r="B62" i="11"/>
  <c r="A62" i="11"/>
  <c r="E61" i="11"/>
  <c r="AM61" i="11" s="1"/>
  <c r="D61" i="11"/>
  <c r="C61" i="11"/>
  <c r="B61" i="11"/>
  <c r="A61" i="11"/>
  <c r="E60" i="11"/>
  <c r="L60" i="11" s="1"/>
  <c r="D60" i="11"/>
  <c r="C60" i="11"/>
  <c r="B60" i="11"/>
  <c r="A60" i="11"/>
  <c r="E59" i="11"/>
  <c r="AC59" i="11" s="1"/>
  <c r="D59" i="11"/>
  <c r="C59" i="11"/>
  <c r="B59" i="11"/>
  <c r="A59" i="11"/>
  <c r="E58" i="11"/>
  <c r="L58" i="11" s="1"/>
  <c r="D58" i="11"/>
  <c r="C58" i="11"/>
  <c r="B58" i="11"/>
  <c r="A58" i="11"/>
  <c r="E57" i="11"/>
  <c r="D57" i="11"/>
  <c r="C57" i="11"/>
  <c r="B57" i="11"/>
  <c r="A57" i="11"/>
  <c r="E56" i="11"/>
  <c r="AM56" i="11" s="1"/>
  <c r="D56" i="11"/>
  <c r="C56" i="11"/>
  <c r="B56" i="11"/>
  <c r="A56" i="11"/>
  <c r="E55" i="11"/>
  <c r="AM55" i="11" s="1"/>
  <c r="D55" i="11"/>
  <c r="C55" i="11"/>
  <c r="B55" i="11"/>
  <c r="A55" i="11"/>
  <c r="E54" i="11"/>
  <c r="X54" i="11" s="1"/>
  <c r="D54" i="11"/>
  <c r="C54" i="11"/>
  <c r="B54" i="11"/>
  <c r="A54" i="11"/>
  <c r="E53" i="11"/>
  <c r="AC53" i="11" s="1"/>
  <c r="D53" i="11"/>
  <c r="C53" i="11"/>
  <c r="B53" i="11"/>
  <c r="A53" i="11"/>
  <c r="E52" i="11"/>
  <c r="G52" i="11" s="1"/>
  <c r="D52" i="11"/>
  <c r="C52" i="11"/>
  <c r="B52" i="11"/>
  <c r="A52" i="11"/>
  <c r="E51" i="11"/>
  <c r="AM51" i="11" s="1"/>
  <c r="D51" i="11"/>
  <c r="C51" i="11"/>
  <c r="B51" i="11"/>
  <c r="A51" i="11"/>
  <c r="E50" i="11"/>
  <c r="AM50" i="11" s="1"/>
  <c r="D50" i="11"/>
  <c r="C50" i="11"/>
  <c r="B50" i="11"/>
  <c r="A50" i="11"/>
  <c r="E49" i="11"/>
  <c r="AM49" i="11" s="1"/>
  <c r="D49" i="11"/>
  <c r="C49" i="11"/>
  <c r="B49" i="11"/>
  <c r="A49" i="11"/>
  <c r="E48" i="11"/>
  <c r="L48" i="11" s="1"/>
  <c r="D48" i="11"/>
  <c r="C48" i="11"/>
  <c r="B48" i="11"/>
  <c r="A48" i="11"/>
  <c r="E47" i="11"/>
  <c r="D47" i="11"/>
  <c r="C47" i="11"/>
  <c r="B47" i="11"/>
  <c r="A47" i="11"/>
  <c r="E46" i="11"/>
  <c r="L46" i="11" s="1"/>
  <c r="D46" i="11"/>
  <c r="C46" i="11"/>
  <c r="B46" i="11"/>
  <c r="A46" i="11"/>
  <c r="E45" i="11"/>
  <c r="L45" i="11" s="1"/>
  <c r="D45" i="11"/>
  <c r="C45" i="11"/>
  <c r="B45" i="11"/>
  <c r="A45" i="11"/>
  <c r="E44" i="11"/>
  <c r="AM44" i="11" s="1"/>
  <c r="D44" i="11"/>
  <c r="C44" i="11"/>
  <c r="B44" i="11"/>
  <c r="A44" i="11"/>
  <c r="E43" i="11"/>
  <c r="AC43" i="11" s="1"/>
  <c r="D43" i="11"/>
  <c r="C43" i="11"/>
  <c r="B43" i="11"/>
  <c r="A43" i="11"/>
  <c r="E42" i="11"/>
  <c r="X42" i="11" s="1"/>
  <c r="D42" i="11"/>
  <c r="C42" i="11"/>
  <c r="B42" i="11"/>
  <c r="A42" i="11"/>
  <c r="E41" i="11"/>
  <c r="X41" i="11" s="1"/>
  <c r="D41" i="11"/>
  <c r="C41" i="11"/>
  <c r="B41" i="11"/>
  <c r="A41" i="11"/>
  <c r="E40" i="11"/>
  <c r="X40" i="11" s="1"/>
  <c r="D40" i="11"/>
  <c r="C40" i="11"/>
  <c r="B40" i="11"/>
  <c r="A40" i="11"/>
  <c r="E39" i="11"/>
  <c r="AM39" i="11" s="1"/>
  <c r="D39" i="11"/>
  <c r="C39" i="11"/>
  <c r="B39" i="11"/>
  <c r="A39" i="11"/>
  <c r="E38" i="11"/>
  <c r="R38" i="11" s="1"/>
  <c r="D38" i="11"/>
  <c r="C38" i="11"/>
  <c r="B38" i="11"/>
  <c r="A38" i="11"/>
  <c r="E37" i="11"/>
  <c r="X37" i="11" s="1"/>
  <c r="D37" i="11"/>
  <c r="C37" i="11"/>
  <c r="B37" i="11"/>
  <c r="A37" i="11"/>
  <c r="E36" i="11"/>
  <c r="AC36" i="11" s="1"/>
  <c r="D36" i="11"/>
  <c r="C36" i="11"/>
  <c r="B36" i="11"/>
  <c r="A36" i="11"/>
  <c r="E35" i="11"/>
  <c r="X35" i="11" s="1"/>
  <c r="D35" i="11"/>
  <c r="C35" i="11"/>
  <c r="B35" i="11"/>
  <c r="A35" i="11"/>
  <c r="E34" i="11"/>
  <c r="D34" i="11"/>
  <c r="C34" i="11"/>
  <c r="B34" i="11"/>
  <c r="A34" i="11"/>
  <c r="E33" i="11"/>
  <c r="G33" i="11" s="1"/>
  <c r="D33" i="11"/>
  <c r="C33" i="11"/>
  <c r="B33" i="11"/>
  <c r="A33" i="11"/>
  <c r="E32" i="11"/>
  <c r="D32" i="11"/>
  <c r="C32" i="11"/>
  <c r="B32" i="11"/>
  <c r="A32" i="11"/>
  <c r="E31" i="11"/>
  <c r="D31" i="11"/>
  <c r="C31" i="11"/>
  <c r="B31" i="11"/>
  <c r="A31" i="11"/>
  <c r="E30" i="11"/>
  <c r="D30" i="11"/>
  <c r="C30" i="11"/>
  <c r="B30" i="11"/>
  <c r="A30" i="11"/>
  <c r="E29" i="11"/>
  <c r="AC29" i="11" s="1"/>
  <c r="D29" i="11"/>
  <c r="C29" i="11"/>
  <c r="B29" i="11"/>
  <c r="A29" i="11"/>
  <c r="E28" i="11"/>
  <c r="L28" i="11" s="1"/>
  <c r="D28" i="11"/>
  <c r="C28" i="11"/>
  <c r="B28" i="11"/>
  <c r="A28" i="11"/>
  <c r="E27" i="11"/>
  <c r="AC27" i="11" s="1"/>
  <c r="D27" i="11"/>
  <c r="C27" i="11"/>
  <c r="B27" i="11"/>
  <c r="A27" i="11"/>
  <c r="E26" i="11"/>
  <c r="AM26" i="11" s="1"/>
  <c r="D26" i="11"/>
  <c r="C26" i="11"/>
  <c r="B26" i="11"/>
  <c r="A26" i="11"/>
  <c r="E25" i="11"/>
  <c r="R25" i="11" s="1"/>
  <c r="D25" i="11"/>
  <c r="C25" i="11"/>
  <c r="B25" i="11"/>
  <c r="A25" i="11"/>
  <c r="E24" i="11"/>
  <c r="X24" i="11" s="1"/>
  <c r="D24" i="11"/>
  <c r="C24" i="11"/>
  <c r="B24" i="11"/>
  <c r="A24" i="11"/>
  <c r="E23" i="11"/>
  <c r="R23" i="11" s="1"/>
  <c r="D23" i="11"/>
  <c r="C23" i="11"/>
  <c r="B23" i="11"/>
  <c r="A23" i="11"/>
  <c r="E22" i="11"/>
  <c r="AM22" i="11" s="1"/>
  <c r="D22" i="11"/>
  <c r="C22" i="11"/>
  <c r="B22" i="11"/>
  <c r="A22" i="11"/>
  <c r="E21" i="11"/>
  <c r="G21" i="11" s="1"/>
  <c r="D21" i="11"/>
  <c r="C21" i="11"/>
  <c r="B21" i="11"/>
  <c r="A21" i="11"/>
  <c r="E20" i="11"/>
  <c r="D20" i="11"/>
  <c r="C20" i="11"/>
  <c r="B20" i="11"/>
  <c r="A20" i="11"/>
  <c r="E19" i="11"/>
  <c r="D19" i="11"/>
  <c r="C19" i="11"/>
  <c r="B19" i="11"/>
  <c r="A19" i="11"/>
  <c r="E18" i="11"/>
  <c r="AC18" i="11" s="1"/>
  <c r="D18" i="11"/>
  <c r="C18" i="11"/>
  <c r="B18" i="11"/>
  <c r="A18" i="11"/>
  <c r="E17" i="11"/>
  <c r="D17" i="11"/>
  <c r="C17" i="11"/>
  <c r="B17" i="11"/>
  <c r="A17" i="11"/>
  <c r="E16" i="11"/>
  <c r="AM16" i="11" s="1"/>
  <c r="D16" i="11"/>
  <c r="C16" i="11"/>
  <c r="B16" i="11"/>
  <c r="A16" i="11"/>
  <c r="E15" i="11"/>
  <c r="AC15" i="11" s="1"/>
  <c r="D15" i="11"/>
  <c r="C15" i="11"/>
  <c r="B15" i="11"/>
  <c r="A15" i="11"/>
  <c r="E14" i="11"/>
  <c r="D14" i="11"/>
  <c r="C14" i="11"/>
  <c r="B14" i="11"/>
  <c r="A14" i="11"/>
  <c r="E13" i="11"/>
  <c r="R13" i="11" s="1"/>
  <c r="D13" i="11"/>
  <c r="C13" i="11"/>
  <c r="B13" i="11"/>
  <c r="A13" i="11"/>
  <c r="BA10" i="11"/>
  <c r="AV10" i="11"/>
  <c r="AT10" i="11"/>
  <c r="BA9" i="11"/>
  <c r="BA8" i="11"/>
  <c r="AT8" i="11"/>
  <c r="BA7" i="11"/>
  <c r="AT7" i="11"/>
  <c r="BA6" i="11"/>
  <c r="AT6" i="11"/>
  <c r="AP4" i="11"/>
  <c r="AP3" i="11"/>
  <c r="AP2" i="11"/>
  <c r="E62" i="10"/>
  <c r="D62" i="10"/>
  <c r="C62" i="10"/>
  <c r="B62" i="10"/>
  <c r="A62" i="10"/>
  <c r="E61" i="10"/>
  <c r="D61" i="10"/>
  <c r="C61" i="10"/>
  <c r="B61" i="10"/>
  <c r="A61" i="10"/>
  <c r="E60" i="10"/>
  <c r="D60" i="10"/>
  <c r="C60" i="10"/>
  <c r="B60" i="10"/>
  <c r="A60" i="10"/>
  <c r="E59" i="10"/>
  <c r="D59" i="10"/>
  <c r="C59" i="10"/>
  <c r="B59" i="10"/>
  <c r="A59" i="10"/>
  <c r="E58" i="10"/>
  <c r="D58" i="10"/>
  <c r="C58" i="10"/>
  <c r="B58" i="10"/>
  <c r="A58" i="10"/>
  <c r="E57" i="10"/>
  <c r="D57" i="10"/>
  <c r="C57" i="10"/>
  <c r="B57" i="10"/>
  <c r="A57" i="10"/>
  <c r="E56" i="10"/>
  <c r="D56" i="10"/>
  <c r="C56" i="10"/>
  <c r="B56" i="10"/>
  <c r="A56" i="10"/>
  <c r="E55" i="10"/>
  <c r="D55" i="10"/>
  <c r="C55" i="10"/>
  <c r="B55" i="10"/>
  <c r="A55" i="10"/>
  <c r="E54" i="10"/>
  <c r="D54" i="10"/>
  <c r="C54" i="10"/>
  <c r="B54" i="10"/>
  <c r="A54" i="10"/>
  <c r="E53" i="10"/>
  <c r="D53" i="10"/>
  <c r="C53" i="10"/>
  <c r="B53" i="10"/>
  <c r="A53" i="10"/>
  <c r="E52" i="10"/>
  <c r="D52" i="10"/>
  <c r="C52" i="10"/>
  <c r="B52" i="10"/>
  <c r="A52" i="10"/>
  <c r="E51" i="10"/>
  <c r="D51" i="10"/>
  <c r="C51" i="10"/>
  <c r="B51" i="10"/>
  <c r="A51" i="10"/>
  <c r="E50" i="10"/>
  <c r="D50" i="10"/>
  <c r="C50" i="10"/>
  <c r="B50" i="10"/>
  <c r="A50" i="10"/>
  <c r="E49" i="10"/>
  <c r="D49" i="10"/>
  <c r="C49" i="10"/>
  <c r="B49" i="10"/>
  <c r="A49" i="10"/>
  <c r="E48" i="10"/>
  <c r="D48" i="10"/>
  <c r="C48" i="10"/>
  <c r="B48" i="10"/>
  <c r="A48" i="10"/>
  <c r="E47" i="10"/>
  <c r="D47" i="10"/>
  <c r="C47" i="10"/>
  <c r="B47" i="10"/>
  <c r="A47" i="10"/>
  <c r="E46" i="10"/>
  <c r="D46" i="10"/>
  <c r="C46" i="10"/>
  <c r="B46" i="10"/>
  <c r="A46" i="10"/>
  <c r="E45" i="10"/>
  <c r="D45" i="10"/>
  <c r="C45" i="10"/>
  <c r="B45" i="10"/>
  <c r="A45" i="10"/>
  <c r="E44" i="10"/>
  <c r="D44" i="10"/>
  <c r="C44" i="10"/>
  <c r="B44" i="10"/>
  <c r="A44" i="10"/>
  <c r="E43" i="10"/>
  <c r="D43" i="10"/>
  <c r="C43" i="10"/>
  <c r="B43" i="10"/>
  <c r="A43" i="10"/>
  <c r="E42" i="10"/>
  <c r="D42" i="10"/>
  <c r="C42" i="10"/>
  <c r="B42" i="10"/>
  <c r="A42" i="10"/>
  <c r="E41" i="10"/>
  <c r="D41" i="10"/>
  <c r="C41" i="10"/>
  <c r="B41" i="10"/>
  <c r="A41" i="10"/>
  <c r="E40" i="10"/>
  <c r="D40" i="10"/>
  <c r="C40" i="10"/>
  <c r="B40" i="10"/>
  <c r="A40" i="10"/>
  <c r="E39" i="10"/>
  <c r="D39" i="10"/>
  <c r="C39" i="10"/>
  <c r="B39" i="10"/>
  <c r="A39" i="10"/>
  <c r="E38" i="10"/>
  <c r="D38" i="10"/>
  <c r="C38" i="10"/>
  <c r="B38" i="10"/>
  <c r="A38" i="10"/>
  <c r="E37" i="10"/>
  <c r="D37" i="10"/>
  <c r="C37" i="10"/>
  <c r="B37" i="10"/>
  <c r="A37" i="10"/>
  <c r="E36" i="10"/>
  <c r="D36" i="10"/>
  <c r="C36" i="10"/>
  <c r="B36" i="10"/>
  <c r="A36" i="10"/>
  <c r="E35" i="10"/>
  <c r="D35" i="10"/>
  <c r="C35" i="10"/>
  <c r="B35" i="10"/>
  <c r="A35" i="10"/>
  <c r="E34" i="10"/>
  <c r="D34" i="10"/>
  <c r="C34" i="10"/>
  <c r="B34" i="10"/>
  <c r="A34" i="10"/>
  <c r="E33" i="10"/>
  <c r="D33" i="10"/>
  <c r="C33" i="10"/>
  <c r="B33" i="10"/>
  <c r="A33" i="10"/>
  <c r="E32" i="10"/>
  <c r="D32" i="10"/>
  <c r="C32" i="10"/>
  <c r="B32" i="10"/>
  <c r="A32" i="10"/>
  <c r="E31" i="10"/>
  <c r="D31" i="10"/>
  <c r="C31" i="10"/>
  <c r="B31" i="10"/>
  <c r="A31" i="10"/>
  <c r="E30" i="10"/>
  <c r="D30" i="10"/>
  <c r="C30" i="10"/>
  <c r="B30" i="10"/>
  <c r="A30" i="10"/>
  <c r="E29" i="10"/>
  <c r="D29" i="10"/>
  <c r="C29" i="10"/>
  <c r="B29" i="10"/>
  <c r="A29" i="10"/>
  <c r="E28" i="10"/>
  <c r="D28" i="10"/>
  <c r="C28" i="10"/>
  <c r="B28" i="10"/>
  <c r="A28" i="10"/>
  <c r="E27" i="10"/>
  <c r="D27" i="10"/>
  <c r="C27" i="10"/>
  <c r="B27" i="10"/>
  <c r="A27" i="10"/>
  <c r="E26" i="10"/>
  <c r="D26" i="10"/>
  <c r="C26" i="10"/>
  <c r="B26" i="10"/>
  <c r="A26" i="10"/>
  <c r="E25" i="10"/>
  <c r="D25" i="10"/>
  <c r="C25" i="10"/>
  <c r="B25" i="10"/>
  <c r="A25" i="10"/>
  <c r="E24" i="10"/>
  <c r="D24" i="10"/>
  <c r="C24" i="10"/>
  <c r="B24" i="10"/>
  <c r="A24" i="10"/>
  <c r="E23" i="10"/>
  <c r="D23" i="10"/>
  <c r="C23" i="10"/>
  <c r="B23" i="10"/>
  <c r="A23" i="10"/>
  <c r="E22" i="10"/>
  <c r="D22" i="10"/>
  <c r="C22" i="10"/>
  <c r="B22" i="10"/>
  <c r="A22" i="10"/>
  <c r="E21" i="10"/>
  <c r="D21" i="10"/>
  <c r="C21" i="10"/>
  <c r="B21" i="10"/>
  <c r="A21" i="10"/>
  <c r="E20" i="10"/>
  <c r="D20" i="10"/>
  <c r="C20" i="10"/>
  <c r="B20" i="10"/>
  <c r="A20" i="10"/>
  <c r="E19" i="10"/>
  <c r="D19" i="10"/>
  <c r="C19" i="10"/>
  <c r="B19" i="10"/>
  <c r="A19" i="10"/>
  <c r="E18" i="10"/>
  <c r="D18" i="10"/>
  <c r="C18" i="10"/>
  <c r="B18" i="10"/>
  <c r="A18" i="10"/>
  <c r="E17" i="10"/>
  <c r="D17" i="10"/>
  <c r="C17" i="10"/>
  <c r="B17" i="10"/>
  <c r="A17" i="10"/>
  <c r="E16" i="10"/>
  <c r="D16" i="10"/>
  <c r="C16" i="10"/>
  <c r="B16" i="10"/>
  <c r="A16" i="10"/>
  <c r="E15" i="10"/>
  <c r="D15" i="10"/>
  <c r="C15" i="10"/>
  <c r="B15" i="10"/>
  <c r="A15" i="10"/>
  <c r="E14" i="10"/>
  <c r="D14" i="10"/>
  <c r="C14" i="10"/>
  <c r="B14" i="10"/>
  <c r="A14" i="10"/>
  <c r="E13" i="10"/>
  <c r="D13" i="10"/>
  <c r="C13" i="10"/>
  <c r="B13" i="10"/>
  <c r="A13" i="10"/>
  <c r="L10" i="10"/>
  <c r="G10" i="10"/>
  <c r="E10" i="10"/>
  <c r="L9" i="10"/>
  <c r="L8" i="10"/>
  <c r="E8" i="10"/>
  <c r="L7" i="10"/>
  <c r="E7" i="10"/>
  <c r="L6" i="10"/>
  <c r="E6" i="10"/>
  <c r="A4" i="10"/>
  <c r="A3" i="10"/>
  <c r="A2" i="10"/>
  <c r="P22" i="7"/>
  <c r="O22" i="7"/>
  <c r="N22" i="7"/>
  <c r="M22" i="7"/>
  <c r="L22" i="7"/>
  <c r="K22" i="7"/>
  <c r="J22" i="7"/>
  <c r="I22" i="7"/>
  <c r="H22" i="7"/>
  <c r="G22" i="7"/>
  <c r="F22" i="7"/>
  <c r="E22" i="7"/>
  <c r="P21" i="7"/>
  <c r="O21" i="7"/>
  <c r="N21" i="7"/>
  <c r="M21" i="7"/>
  <c r="L21" i="7"/>
  <c r="K21" i="7"/>
  <c r="J21" i="7"/>
  <c r="I21" i="7"/>
  <c r="H21" i="7"/>
  <c r="G21" i="7"/>
  <c r="F21" i="7"/>
  <c r="E21" i="7"/>
  <c r="P20" i="7"/>
  <c r="O20" i="7"/>
  <c r="N20" i="7"/>
  <c r="M20" i="7"/>
  <c r="L20" i="7"/>
  <c r="K20" i="7"/>
  <c r="J20" i="7"/>
  <c r="I20" i="7"/>
  <c r="H20" i="7"/>
  <c r="G20" i="7"/>
  <c r="F20" i="7"/>
  <c r="E20" i="7"/>
  <c r="P19" i="7"/>
  <c r="O19" i="7"/>
  <c r="N19" i="7"/>
  <c r="M19" i="7"/>
  <c r="L19" i="7"/>
  <c r="K19" i="7"/>
  <c r="J19" i="7"/>
  <c r="I19" i="7"/>
  <c r="H19" i="7"/>
  <c r="G19" i="7"/>
  <c r="F19" i="7"/>
  <c r="E19" i="7"/>
  <c r="P16" i="7"/>
  <c r="O16" i="7"/>
  <c r="N16" i="7"/>
  <c r="M16" i="7"/>
  <c r="L16" i="7"/>
  <c r="K16" i="7"/>
  <c r="J16" i="7"/>
  <c r="I16" i="7"/>
  <c r="H16" i="7"/>
  <c r="G16" i="7"/>
  <c r="F16" i="7"/>
  <c r="E16" i="7"/>
  <c r="P15" i="7"/>
  <c r="O15" i="7"/>
  <c r="N15" i="7"/>
  <c r="M15" i="7"/>
  <c r="L15" i="7"/>
  <c r="K15" i="7"/>
  <c r="J15" i="7"/>
  <c r="I15" i="7"/>
  <c r="H15" i="7"/>
  <c r="G15" i="7"/>
  <c r="F15" i="7"/>
  <c r="E15" i="7"/>
  <c r="P14" i="7"/>
  <c r="O14" i="7"/>
  <c r="N14" i="7"/>
  <c r="M14" i="7"/>
  <c r="L14" i="7"/>
  <c r="K14" i="7"/>
  <c r="J14" i="7"/>
  <c r="I14" i="7"/>
  <c r="H14" i="7"/>
  <c r="G14" i="7"/>
  <c r="F14" i="7"/>
  <c r="E14" i="7"/>
  <c r="P13" i="7"/>
  <c r="O13" i="7"/>
  <c r="N13" i="7"/>
  <c r="M13" i="7"/>
  <c r="L13" i="7"/>
  <c r="K13" i="7"/>
  <c r="J13" i="7"/>
  <c r="I13" i="7"/>
  <c r="H13" i="7"/>
  <c r="G13" i="7"/>
  <c r="F13" i="7"/>
  <c r="E13" i="7"/>
  <c r="M9" i="7"/>
  <c r="G9" i="7"/>
  <c r="E9" i="7"/>
  <c r="M8" i="7"/>
  <c r="M7" i="7"/>
  <c r="E7" i="7"/>
  <c r="M6" i="7"/>
  <c r="E6" i="7"/>
  <c r="M5" i="7"/>
  <c r="E5" i="7"/>
  <c r="A3" i="7"/>
  <c r="A2" i="7"/>
  <c r="A1" i="7"/>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M10" i="6"/>
  <c r="G10" i="6"/>
  <c r="E10" i="6"/>
  <c r="M9" i="6"/>
  <c r="M8" i="6"/>
  <c r="E8" i="6"/>
  <c r="M7" i="6"/>
  <c r="E7" i="6"/>
  <c r="M6" i="6"/>
  <c r="E6" i="6"/>
  <c r="A4" i="6"/>
  <c r="A3" i="6"/>
  <c r="A2" i="6"/>
  <c r="AB5" i="4"/>
  <c r="AB4" i="4"/>
  <c r="AB3" i="4"/>
  <c r="A28" i="3"/>
  <c r="A27" i="3"/>
  <c r="A26" i="3"/>
  <c r="A25" i="3"/>
  <c r="A24" i="3"/>
  <c r="A23" i="3"/>
  <c r="A22" i="3"/>
  <c r="A21" i="3"/>
  <c r="A20" i="3"/>
  <c r="A19" i="3"/>
  <c r="A18" i="3"/>
  <c r="A17" i="3"/>
  <c r="A16" i="3"/>
  <c r="A15" i="3"/>
  <c r="A14" i="3"/>
  <c r="A13" i="3"/>
  <c r="M10" i="3"/>
  <c r="H10" i="3"/>
  <c r="E10" i="3"/>
  <c r="M9" i="3"/>
  <c r="M8" i="3"/>
  <c r="E8" i="3"/>
  <c r="M7" i="3"/>
  <c r="E7" i="3"/>
  <c r="M6" i="3"/>
  <c r="E6" i="3"/>
  <c r="A4" i="3"/>
  <c r="A3" i="3"/>
  <c r="A2" i="3"/>
  <c r="G52" i="18" l="1"/>
  <c r="R62" i="11"/>
  <c r="AC62" i="11"/>
  <c r="L50" i="11"/>
  <c r="R26" i="11"/>
  <c r="G23" i="18"/>
  <c r="V59" i="18"/>
  <c r="V62" i="18"/>
  <c r="AL23" i="18"/>
  <c r="AL62" i="18"/>
  <c r="X50" i="11"/>
  <c r="AB57" i="18"/>
  <c r="G59" i="18"/>
  <c r="F31" i="19"/>
  <c r="U55" i="19"/>
  <c r="X22" i="11"/>
  <c r="G54" i="11"/>
  <c r="K28" i="19"/>
  <c r="U28" i="19"/>
  <c r="G44" i="11"/>
  <c r="AM48" i="11"/>
  <c r="F56" i="19"/>
  <c r="L23" i="11"/>
  <c r="L44" i="11"/>
  <c r="AM46" i="11"/>
  <c r="AB15" i="18"/>
  <c r="F40" i="19"/>
  <c r="Z27" i="19"/>
  <c r="AC44" i="11"/>
  <c r="L55" i="11"/>
  <c r="P25" i="19"/>
  <c r="L51" i="11"/>
  <c r="K18" i="19"/>
  <c r="U43" i="19"/>
  <c r="AC26" i="11"/>
  <c r="Q21" i="18"/>
  <c r="R18" i="11"/>
  <c r="AC28" i="11"/>
  <c r="U16" i="19"/>
  <c r="P20" i="19"/>
  <c r="Z43" i="19"/>
  <c r="F61" i="19"/>
  <c r="G40" i="11"/>
  <c r="V13" i="18"/>
  <c r="V47" i="18"/>
  <c r="Z61" i="19"/>
  <c r="F25" i="19"/>
  <c r="F55" i="19"/>
  <c r="G25" i="11"/>
  <c r="R44" i="11"/>
  <c r="X46" i="11"/>
  <c r="AC48" i="11"/>
  <c r="G50" i="11"/>
  <c r="G26" i="18"/>
  <c r="K25" i="19"/>
  <c r="F35" i="19"/>
  <c r="K55" i="19"/>
  <c r="R27" i="11"/>
  <c r="L36" i="11"/>
  <c r="Q31" i="18"/>
  <c r="K19" i="19"/>
  <c r="X52" i="11"/>
  <c r="L56" i="11"/>
  <c r="Z25" i="19"/>
  <c r="X27" i="11"/>
  <c r="R56" i="11"/>
  <c r="K34" i="19"/>
  <c r="F62" i="19"/>
  <c r="L22" i="11"/>
  <c r="L26" i="11"/>
  <c r="AC41" i="11"/>
  <c r="G61" i="11"/>
  <c r="U34" i="19"/>
  <c r="P62" i="19"/>
  <c r="AM15" i="11"/>
  <c r="R16" i="11"/>
  <c r="AM36" i="11"/>
  <c r="AM37" i="11"/>
  <c r="AC38" i="11"/>
  <c r="AC42" i="11"/>
  <c r="AB23" i="18"/>
  <c r="AB29" i="18"/>
  <c r="AL34" i="18"/>
  <c r="Q35" i="18"/>
  <c r="AL46" i="18"/>
  <c r="AB50" i="18"/>
  <c r="X16" i="11"/>
  <c r="AM38" i="11"/>
  <c r="V35" i="18"/>
  <c r="G46" i="18"/>
  <c r="AB47" i="18"/>
  <c r="AL50" i="18"/>
  <c r="AM26" i="25"/>
  <c r="AK27" i="25"/>
  <c r="AM28" i="25"/>
  <c r="AK31" i="25"/>
  <c r="AM32" i="25"/>
  <c r="AK33" i="25"/>
  <c r="AM34" i="25"/>
  <c r="G15" i="11"/>
  <c r="G16" i="11"/>
  <c r="AC16" i="11"/>
  <c r="X18" i="11"/>
  <c r="AC22" i="11"/>
  <c r="G24" i="11"/>
  <c r="R36" i="11"/>
  <c r="G37" i="11"/>
  <c r="G38" i="11"/>
  <c r="G42" i="11"/>
  <c r="AM43" i="11"/>
  <c r="AC51" i="11"/>
  <c r="AM52" i="11"/>
  <c r="R54" i="11"/>
  <c r="X56" i="11"/>
  <c r="X58" i="11"/>
  <c r="X61" i="11"/>
  <c r="AB18" i="18"/>
  <c r="L22" i="18"/>
  <c r="L23" i="18"/>
  <c r="G29" i="18"/>
  <c r="AB30" i="18"/>
  <c r="L32" i="18"/>
  <c r="G34" i="18"/>
  <c r="G35" i="18"/>
  <c r="AB35" i="18"/>
  <c r="L42" i="18"/>
  <c r="Q46" i="18"/>
  <c r="G47" i="18"/>
  <c r="L50" i="18"/>
  <c r="P15" i="19"/>
  <c r="P18" i="19"/>
  <c r="P24" i="19"/>
  <c r="F26" i="19"/>
  <c r="Z28" i="19"/>
  <c r="K30" i="19"/>
  <c r="U31" i="19"/>
  <c r="Z34" i="19"/>
  <c r="U40" i="19"/>
  <c r="K46" i="19"/>
  <c r="P48" i="19"/>
  <c r="I35" i="25"/>
  <c r="U35" i="25"/>
  <c r="AL35" i="25"/>
  <c r="X26" i="25"/>
  <c r="AL27" i="25"/>
  <c r="X28" i="25"/>
  <c r="AK28" i="25"/>
  <c r="AL29" i="25"/>
  <c r="X30" i="25"/>
  <c r="AL31" i="25"/>
  <c r="X32" i="25"/>
  <c r="AL33" i="25"/>
  <c r="X34" i="25"/>
  <c r="Y43" i="25"/>
  <c r="AL43" i="25"/>
  <c r="Y47" i="25"/>
  <c r="Y49" i="25"/>
  <c r="R15" i="11"/>
  <c r="L16" i="11"/>
  <c r="G22" i="11"/>
  <c r="R24" i="11"/>
  <c r="R37" i="11"/>
  <c r="L38" i="11"/>
  <c r="G41" i="11"/>
  <c r="R42" i="11"/>
  <c r="X44" i="11"/>
  <c r="AC50" i="11"/>
  <c r="G56" i="11"/>
  <c r="AC56" i="11"/>
  <c r="AM58" i="11"/>
  <c r="AC60" i="11"/>
  <c r="Q13" i="18"/>
  <c r="G21" i="18"/>
  <c r="V23" i="18"/>
  <c r="L29" i="18"/>
  <c r="L34" i="18"/>
  <c r="L35" i="18"/>
  <c r="AB42" i="18"/>
  <c r="L47" i="18"/>
  <c r="Q50" i="18"/>
  <c r="AB59" i="18"/>
  <c r="U26" i="19"/>
  <c r="F28" i="19"/>
  <c r="F34" i="19"/>
  <c r="Z39" i="19"/>
  <c r="Z46" i="19"/>
  <c r="Z48" i="19"/>
  <c r="Z55" i="19"/>
  <c r="AL42" i="25"/>
  <c r="AL46" i="25"/>
  <c r="AL47" i="25"/>
  <c r="V28" i="18"/>
  <c r="AL41" i="18"/>
  <c r="V41" i="18"/>
  <c r="G41" i="18"/>
  <c r="X20" i="11"/>
  <c r="R20" i="11"/>
  <c r="AC30" i="11"/>
  <c r="R30" i="11"/>
  <c r="L39" i="18"/>
  <c r="P53" i="19"/>
  <c r="AM30" i="11"/>
  <c r="X32" i="11"/>
  <c r="AC32" i="11"/>
  <c r="AM34" i="11"/>
  <c r="AC34" i="11"/>
  <c r="X34" i="11"/>
  <c r="G34" i="11"/>
  <c r="R47" i="11"/>
  <c r="AM47" i="11"/>
  <c r="AC47" i="11"/>
  <c r="L47" i="11"/>
  <c r="G57" i="11"/>
  <c r="X57" i="11"/>
  <c r="AL38" i="18"/>
  <c r="V38" i="18"/>
  <c r="G38" i="18"/>
  <c r="Q51" i="18"/>
  <c r="L51" i="18"/>
  <c r="Z33" i="19"/>
  <c r="K33" i="19"/>
  <c r="U44" i="19"/>
  <c r="P44" i="19"/>
  <c r="Z57" i="19"/>
  <c r="P57" i="19"/>
  <c r="AM31" i="11"/>
  <c r="L31" i="11"/>
  <c r="G31" i="11"/>
  <c r="L13" i="11"/>
  <c r="Q13" i="7"/>
  <c r="Q19" i="7"/>
  <c r="Q21" i="7"/>
  <c r="G47" i="11"/>
  <c r="L38" i="18"/>
  <c r="G43" i="18"/>
  <c r="AB60" i="18"/>
  <c r="Q60" i="18"/>
  <c r="F44" i="19"/>
  <c r="P52" i="19"/>
  <c r="Z52" i="19"/>
  <c r="F52" i="19"/>
  <c r="K57" i="19"/>
  <c r="AL44" i="18"/>
  <c r="L44" i="18"/>
  <c r="G44" i="18"/>
  <c r="Q14" i="7"/>
  <c r="Q15" i="7"/>
  <c r="Q20" i="7"/>
  <c r="L34" i="11"/>
  <c r="L57" i="11"/>
  <c r="AM14" i="11"/>
  <c r="R14" i="11"/>
  <c r="X47" i="11"/>
  <c r="AC57" i="11"/>
  <c r="R59" i="11"/>
  <c r="AM59" i="11"/>
  <c r="L59" i="11"/>
  <c r="AL17" i="18"/>
  <c r="L17" i="18"/>
  <c r="Q36" i="18"/>
  <c r="Q38" i="18"/>
  <c r="V43" i="18"/>
  <c r="AL51" i="18"/>
  <c r="Q53" i="18"/>
  <c r="AL53" i="18"/>
  <c r="L53" i="18"/>
  <c r="F23" i="19"/>
  <c r="P37" i="19"/>
  <c r="K37" i="19"/>
  <c r="K52" i="19"/>
  <c r="AC13" i="11"/>
  <c r="G25" i="18"/>
  <c r="L41" i="18"/>
  <c r="AL56" i="18"/>
  <c r="AB56" i="18"/>
  <c r="G56" i="18"/>
  <c r="Q16" i="7"/>
  <c r="Q22" i="7"/>
  <c r="R32" i="11"/>
  <c r="AB51" i="18"/>
  <c r="AM32" i="11"/>
  <c r="L14" i="11"/>
  <c r="AC17" i="11"/>
  <c r="AM17" i="11"/>
  <c r="AM19" i="11"/>
  <c r="AC19" i="11"/>
  <c r="X19" i="11"/>
  <c r="G19" i="11"/>
  <c r="G59" i="11"/>
  <c r="G17" i="18"/>
  <c r="AB38" i="18"/>
  <c r="AL43" i="18"/>
  <c r="AB45" i="18"/>
  <c r="Q45" i="18"/>
  <c r="G53" i="18"/>
  <c r="U14" i="19"/>
  <c r="F14" i="19"/>
  <c r="F37" i="19"/>
  <c r="U50" i="19"/>
  <c r="U52" i="19"/>
  <c r="R35" i="11"/>
  <c r="AC35" i="11"/>
  <c r="G35" i="11"/>
  <c r="K13" i="19"/>
  <c r="F13" i="19"/>
  <c r="Z13" i="19"/>
  <c r="AC14" i="11"/>
  <c r="L19" i="11"/>
  <c r="AM29" i="11"/>
  <c r="X59" i="11"/>
  <c r="V17" i="18"/>
  <c r="AL19" i="18"/>
  <c r="G19" i="18"/>
  <c r="Q26" i="18"/>
  <c r="AL26" i="18"/>
  <c r="L26" i="18"/>
  <c r="L45" i="18"/>
  <c r="AB48" i="18"/>
  <c r="L48" i="18"/>
  <c r="V53" i="18"/>
  <c r="G55" i="18"/>
  <c r="P14" i="19"/>
  <c r="P16" i="19"/>
  <c r="K16" i="19"/>
  <c r="F16" i="19"/>
  <c r="U37" i="19"/>
  <c r="P39" i="19"/>
  <c r="X31" i="11"/>
  <c r="P58" i="19"/>
  <c r="Z58" i="19"/>
  <c r="F58" i="19"/>
  <c r="AC25" i="11"/>
  <c r="L25" i="11"/>
  <c r="X28" i="11"/>
  <c r="R28" i="11"/>
  <c r="G28" i="11"/>
  <c r="AC31" i="11"/>
  <c r="L35" i="11"/>
  <c r="AC55" i="11"/>
  <c r="R55" i="11"/>
  <c r="V14" i="18"/>
  <c r="AB26" i="18"/>
  <c r="V37" i="18"/>
  <c r="Q37" i="18"/>
  <c r="AL42" i="18"/>
  <c r="AL52" i="18"/>
  <c r="Q52" i="18"/>
  <c r="P22" i="19"/>
  <c r="U22" i="19"/>
  <c r="Z22" i="19"/>
  <c r="K22" i="19"/>
  <c r="P32" i="19"/>
  <c r="Z45" i="19"/>
  <c r="K58" i="19"/>
  <c r="L14" i="18"/>
  <c r="U58" i="19"/>
  <c r="Z26" i="25"/>
  <c r="Z28" i="25"/>
  <c r="P49" i="19"/>
  <c r="Z49" i="19"/>
  <c r="U49" i="19"/>
  <c r="K49" i="19"/>
  <c r="P13" i="19"/>
  <c r="AC20" i="11"/>
  <c r="X25" i="11"/>
  <c r="AM28" i="11"/>
  <c r="G30" i="11"/>
  <c r="AB22" i="18"/>
  <c r="Q22" i="18"/>
  <c r="AL39" i="18"/>
  <c r="Q41" i="18"/>
  <c r="AB44" i="18"/>
  <c r="L56" i="18"/>
  <c r="U13" i="19"/>
  <c r="P31" i="19"/>
  <c r="K31" i="19"/>
  <c r="P40" i="19"/>
  <c r="K40" i="19"/>
  <c r="X13" i="11"/>
  <c r="G13" i="11"/>
  <c r="Q14" i="18"/>
  <c r="AB14" i="18"/>
  <c r="G14" i="18"/>
  <c r="L25" i="18"/>
  <c r="Q25" i="18"/>
  <c r="AM13" i="11"/>
  <c r="AM35" i="11"/>
  <c r="AM20" i="11"/>
  <c r="AM25" i="11"/>
  <c r="X30" i="11"/>
  <c r="G45" i="11"/>
  <c r="X45" i="11"/>
  <c r="AM62" i="11"/>
  <c r="X62" i="11"/>
  <c r="G62" i="11"/>
  <c r="AL25" i="18"/>
  <c r="AB41" i="18"/>
  <c r="V56" i="18"/>
  <c r="L62" i="18"/>
  <c r="G62" i="18"/>
  <c r="AB62" i="18"/>
  <c r="U19" i="19"/>
  <c r="P19" i="19"/>
  <c r="F19" i="19"/>
  <c r="AM18" i="11"/>
  <c r="AM27" i="11"/>
  <c r="V29" i="18"/>
  <c r="Q47" i="18"/>
  <c r="V50" i="18"/>
  <c r="Q59" i="18"/>
  <c r="AL26" i="25"/>
  <c r="AL28" i="25"/>
  <c r="AL30" i="25"/>
  <c r="AL32" i="25"/>
  <c r="AL34" i="25"/>
  <c r="AL45" i="25"/>
  <c r="AL48" i="25"/>
  <c r="AL44" i="25"/>
  <c r="Y50" i="25"/>
  <c r="Y48" i="25"/>
  <c r="Y26" i="25"/>
  <c r="Y28" i="25"/>
  <c r="Y30" i="25"/>
  <c r="Y32" i="25"/>
  <c r="Y34" i="25"/>
  <c r="Z30" i="25"/>
  <c r="AM30" i="25"/>
  <c r="Z32" i="25"/>
  <c r="Z34" i="25"/>
  <c r="Y46" i="25"/>
  <c r="AL41" i="25"/>
  <c r="Y45" i="25"/>
  <c r="N35" i="25"/>
  <c r="AD35" i="25"/>
  <c r="AM27" i="25"/>
  <c r="AM29" i="25"/>
  <c r="AM31" i="25"/>
  <c r="AM33" i="25"/>
  <c r="Y42" i="25"/>
  <c r="F38" i="19"/>
  <c r="F43" i="19"/>
  <c r="C35" i="25"/>
  <c r="AE35" i="25"/>
  <c r="X29" i="25"/>
  <c r="AK29" i="25"/>
  <c r="X33" i="25"/>
  <c r="Y41" i="25"/>
  <c r="Y44" i="25"/>
  <c r="AL50" i="25"/>
  <c r="K51" i="19"/>
  <c r="O35" i="25"/>
  <c r="X27" i="25"/>
  <c r="X31" i="25"/>
  <c r="X15" i="11"/>
  <c r="G18" i="11"/>
  <c r="G27" i="11"/>
  <c r="X38" i="11"/>
  <c r="R43" i="11"/>
  <c r="R46" i="11"/>
  <c r="AL13" i="18"/>
  <c r="Q27" i="18"/>
  <c r="V34" i="18"/>
  <c r="K24" i="19"/>
  <c r="K43" i="19"/>
  <c r="U46" i="19"/>
  <c r="U61" i="19"/>
  <c r="Y35" i="25"/>
  <c r="Y27" i="25"/>
  <c r="Y29" i="25"/>
  <c r="Y31" i="25"/>
  <c r="Y33" i="25"/>
  <c r="AL49" i="25"/>
  <c r="E35" i="25"/>
  <c r="Q35" i="25"/>
  <c r="AG35" i="25"/>
  <c r="Z27" i="25"/>
  <c r="Z29" i="25"/>
  <c r="Z31" i="25"/>
  <c r="Z33" i="25"/>
  <c r="F35" i="25"/>
  <c r="R35" i="25"/>
  <c r="AH35" i="25"/>
  <c r="AK26" i="25"/>
  <c r="AK30" i="25"/>
  <c r="AK32" i="25"/>
  <c r="AK34" i="25"/>
  <c r="X51" i="25"/>
  <c r="G20" i="11"/>
  <c r="L21" i="11"/>
  <c r="R22" i="11"/>
  <c r="X23" i="11"/>
  <c r="AC24" i="11"/>
  <c r="G32" i="11"/>
  <c r="L33" i="11"/>
  <c r="R34" i="11"/>
  <c r="R39" i="11"/>
  <c r="G43" i="11"/>
  <c r="AM45" i="11"/>
  <c r="R49" i="11"/>
  <c r="L53" i="11"/>
  <c r="AM54" i="11"/>
  <c r="G58" i="11"/>
  <c r="Q16" i="18"/>
  <c r="L20" i="18"/>
  <c r="AL21" i="18"/>
  <c r="L30" i="18"/>
  <c r="Q40" i="18"/>
  <c r="Q49" i="18"/>
  <c r="Q54" i="18"/>
  <c r="Q58" i="18"/>
  <c r="P17" i="19"/>
  <c r="Z20" i="19"/>
  <c r="K20" i="19"/>
  <c r="K27" i="19"/>
  <c r="U30" i="19"/>
  <c r="F30" i="19"/>
  <c r="P47" i="19"/>
  <c r="F50" i="19"/>
  <c r="K53" i="19"/>
  <c r="Z53" i="19"/>
  <c r="P60" i="19"/>
  <c r="Y51" i="25"/>
  <c r="X52" i="25" s="1"/>
  <c r="L20" i="11"/>
  <c r="R21" i="11"/>
  <c r="AC23" i="11"/>
  <c r="AM24" i="11"/>
  <c r="L32" i="11"/>
  <c r="R33" i="11"/>
  <c r="AC39" i="11"/>
  <c r="L43" i="11"/>
  <c r="X48" i="11"/>
  <c r="G48" i="11"/>
  <c r="X49" i="11"/>
  <c r="AC52" i="11"/>
  <c r="L52" i="11"/>
  <c r="X53" i="11"/>
  <c r="R58" i="11"/>
  <c r="V15" i="18"/>
  <c r="G15" i="18"/>
  <c r="V16" i="18"/>
  <c r="AB19" i="18"/>
  <c r="L19" i="18"/>
  <c r="V20" i="18"/>
  <c r="Q30" i="18"/>
  <c r="V39" i="18"/>
  <c r="G39" i="18"/>
  <c r="V40" i="18"/>
  <c r="V48" i="18"/>
  <c r="G48" i="18"/>
  <c r="V49" i="18"/>
  <c r="AB54" i="18"/>
  <c r="G57" i="18"/>
  <c r="V57" i="18"/>
  <c r="V58" i="18"/>
  <c r="K23" i="19"/>
  <c r="Z23" i="19"/>
  <c r="U33" i="19"/>
  <c r="F33" i="19"/>
  <c r="Z56" i="19"/>
  <c r="K56" i="19"/>
  <c r="X21" i="11"/>
  <c r="AM23" i="11"/>
  <c r="X33" i="11"/>
  <c r="AB61" i="18"/>
  <c r="L61" i="18"/>
  <c r="U36" i="19"/>
  <c r="F36" i="19"/>
  <c r="K59" i="19"/>
  <c r="Z59" i="19"/>
  <c r="G17" i="11"/>
  <c r="L18" i="11"/>
  <c r="R19" i="11"/>
  <c r="AC21" i="11"/>
  <c r="G29" i="11"/>
  <c r="L30" i="11"/>
  <c r="R31" i="11"/>
  <c r="AC33" i="11"/>
  <c r="AC37" i="11"/>
  <c r="L37" i="11"/>
  <c r="L42" i="11"/>
  <c r="X43" i="11"/>
  <c r="R48" i="11"/>
  <c r="R52" i="11"/>
  <c r="R57" i="11"/>
  <c r="AC58" i="11"/>
  <c r="Q15" i="18"/>
  <c r="Q19" i="18"/>
  <c r="L24" i="18"/>
  <c r="V25" i="18"/>
  <c r="G33" i="18"/>
  <c r="Q34" i="18"/>
  <c r="Q39" i="18"/>
  <c r="AB43" i="18"/>
  <c r="L43" i="18"/>
  <c r="Q48" i="18"/>
  <c r="AB52" i="18"/>
  <c r="L52" i="18"/>
  <c r="Q57" i="18"/>
  <c r="G61" i="18"/>
  <c r="U20" i="19"/>
  <c r="P23" i="19"/>
  <c r="Z26" i="19"/>
  <c r="K26" i="19"/>
  <c r="Z30" i="19"/>
  <c r="P33" i="19"/>
  <c r="K36" i="19"/>
  <c r="U39" i="19"/>
  <c r="F39" i="19"/>
  <c r="U53" i="19"/>
  <c r="P56" i="19"/>
  <c r="F59" i="19"/>
  <c r="Z62" i="19"/>
  <c r="K62" i="19"/>
  <c r="L17" i="11"/>
  <c r="AM21" i="11"/>
  <c r="L29" i="11"/>
  <c r="AM33" i="11"/>
  <c r="AM41" i="11"/>
  <c r="R41" i="11"/>
  <c r="X51" i="11"/>
  <c r="G51" i="11"/>
  <c r="AC61" i="11"/>
  <c r="L61" i="11"/>
  <c r="V18" i="18"/>
  <c r="G18" i="18"/>
  <c r="Q24" i="18"/>
  <c r="L33" i="18"/>
  <c r="Q61" i="18"/>
  <c r="K29" i="19"/>
  <c r="Z29" i="19"/>
  <c r="P36" i="19"/>
  <c r="U42" i="19"/>
  <c r="F42" i="19"/>
  <c r="P59" i="19"/>
  <c r="AK25" i="25"/>
  <c r="R17" i="11"/>
  <c r="R29" i="11"/>
  <c r="L18" i="18"/>
  <c r="V24" i="18"/>
  <c r="AB28" i="18"/>
  <c r="L28" i="18"/>
  <c r="AL32" i="18"/>
  <c r="Q32" i="18"/>
  <c r="Q33" i="18"/>
  <c r="AB37" i="18"/>
  <c r="L37" i="18"/>
  <c r="V60" i="18"/>
  <c r="G60" i="18"/>
  <c r="V61" i="18"/>
  <c r="U15" i="19"/>
  <c r="F15" i="19"/>
  <c r="F29" i="19"/>
  <c r="Z32" i="19"/>
  <c r="K32" i="19"/>
  <c r="Z36" i="19"/>
  <c r="K42" i="19"/>
  <c r="U45" i="19"/>
  <c r="F45" i="19"/>
  <c r="U59" i="19"/>
  <c r="X25" i="25"/>
  <c r="AM25" i="25"/>
  <c r="G14" i="11"/>
  <c r="L15" i="11"/>
  <c r="X17" i="11"/>
  <c r="G26" i="11"/>
  <c r="L27" i="11"/>
  <c r="X29" i="11"/>
  <c r="X36" i="11"/>
  <c r="G36" i="11"/>
  <c r="L41" i="11"/>
  <c r="AM42" i="11"/>
  <c r="G46" i="11"/>
  <c r="R51" i="11"/>
  <c r="G55" i="11"/>
  <c r="AM57" i="11"/>
  <c r="R61" i="11"/>
  <c r="G13" i="18"/>
  <c r="Q18" i="18"/>
  <c r="G22" i="18"/>
  <c r="AB24" i="18"/>
  <c r="G28" i="18"/>
  <c r="G32" i="18"/>
  <c r="AB33" i="18"/>
  <c r="G37" i="18"/>
  <c r="V42" i="18"/>
  <c r="G42" i="18"/>
  <c r="L46" i="18"/>
  <c r="AB46" i="18"/>
  <c r="V51" i="18"/>
  <c r="G51" i="18"/>
  <c r="L60" i="18"/>
  <c r="AL61" i="18"/>
  <c r="K15" i="19"/>
  <c r="U18" i="19"/>
  <c r="F18" i="19"/>
  <c r="P29" i="19"/>
  <c r="F32" i="19"/>
  <c r="K35" i="19"/>
  <c r="Z35" i="19"/>
  <c r="P42" i="19"/>
  <c r="K45" i="19"/>
  <c r="U48" i="19"/>
  <c r="F48" i="19"/>
  <c r="Z25" i="25"/>
  <c r="AC40" i="11"/>
  <c r="L40" i="11"/>
  <c r="X60" i="11"/>
  <c r="G60" i="11"/>
  <c r="AL24" i="18"/>
  <c r="AL33" i="18"/>
  <c r="AB55" i="18"/>
  <c r="L55" i="18"/>
  <c r="Z38" i="19"/>
  <c r="K38" i="19"/>
  <c r="U51" i="19"/>
  <c r="F51" i="19"/>
  <c r="V27" i="18"/>
  <c r="G27" i="18"/>
  <c r="AB31" i="18"/>
  <c r="L31" i="18"/>
  <c r="V36" i="18"/>
  <c r="G36" i="18"/>
  <c r="U21" i="19"/>
  <c r="F21" i="19"/>
  <c r="K41" i="19"/>
  <c r="Z41" i="19"/>
  <c r="U54" i="19"/>
  <c r="F54" i="19"/>
  <c r="X14" i="11"/>
  <c r="G23" i="11"/>
  <c r="L24" i="11"/>
  <c r="X26" i="11"/>
  <c r="R40" i="11"/>
  <c r="R45" i="11"/>
  <c r="AC46" i="11"/>
  <c r="L54" i="11"/>
  <c r="X55" i="11"/>
  <c r="R60" i="11"/>
  <c r="AB13" i="18"/>
  <c r="L21" i="18"/>
  <c r="V22" i="18"/>
  <c r="L27" i="18"/>
  <c r="AL28" i="18"/>
  <c r="G31" i="18"/>
  <c r="AB32" i="18"/>
  <c r="L36" i="18"/>
  <c r="AL37" i="18"/>
  <c r="G45" i="18"/>
  <c r="V45" i="18"/>
  <c r="Q55" i="18"/>
  <c r="AL60" i="18"/>
  <c r="Z14" i="19"/>
  <c r="K14" i="19"/>
  <c r="K21" i="19"/>
  <c r="U24" i="19"/>
  <c r="F24" i="19"/>
  <c r="P38" i="19"/>
  <c r="F41" i="19"/>
  <c r="Z44" i="19"/>
  <c r="K44" i="19"/>
  <c r="P51" i="19"/>
  <c r="K54" i="19"/>
  <c r="U57" i="19"/>
  <c r="F57" i="19"/>
  <c r="X39" i="11"/>
  <c r="G39" i="11"/>
  <c r="AC49" i="11"/>
  <c r="L49" i="11"/>
  <c r="AM53" i="11"/>
  <c r="R53" i="11"/>
  <c r="AB16" i="18"/>
  <c r="L16" i="18"/>
  <c r="AL20" i="18"/>
  <c r="Q20" i="18"/>
  <c r="AB40" i="18"/>
  <c r="L40" i="18"/>
  <c r="AB49" i="18"/>
  <c r="L49" i="18"/>
  <c r="V54" i="18"/>
  <c r="G54" i="18"/>
  <c r="L58" i="18"/>
  <c r="AB58" i="18"/>
  <c r="K17" i="19"/>
  <c r="Z17" i="19"/>
  <c r="K47" i="19"/>
  <c r="Z47" i="19"/>
  <c r="U60" i="19"/>
  <c r="F60" i="19"/>
  <c r="L39" i="11"/>
  <c r="AM40" i="11"/>
  <c r="AC45" i="11"/>
  <c r="G49" i="11"/>
  <c r="G53" i="11"/>
  <c r="AC54" i="11"/>
  <c r="AM60" i="11"/>
  <c r="G16" i="18"/>
  <c r="G20" i="18"/>
  <c r="AB21" i="18"/>
  <c r="AB27" i="18"/>
  <c r="V30" i="18"/>
  <c r="G30" i="18"/>
  <c r="V31" i="18"/>
  <c r="AB36" i="18"/>
  <c r="G40" i="18"/>
  <c r="G49" i="18"/>
  <c r="L54" i="18"/>
  <c r="AL55" i="18"/>
  <c r="G58" i="18"/>
  <c r="F17" i="19"/>
  <c r="Z21" i="19"/>
  <c r="U27" i="19"/>
  <c r="F27" i="19"/>
  <c r="U41" i="19"/>
  <c r="F47" i="19"/>
  <c r="Z50" i="19"/>
  <c r="K50" i="19"/>
  <c r="Z54" i="19"/>
  <c r="K60" i="19"/>
  <c r="AF51" i="25"/>
  <c r="AL51" i="25" s="1"/>
  <c r="AK52" i="25" s="1"/>
  <c r="Q44" i="18"/>
  <c r="Q56" i="18"/>
  <c r="R50" i="11"/>
  <c r="Q17" i="18"/>
  <c r="Q29" i="18"/>
  <c r="Y25" i="25"/>
  <c r="AL25" i="25"/>
  <c r="AK35" i="25" l="1"/>
  <c r="X35" i="25"/>
  <c r="Z35" i="25"/>
  <c r="AM35" i="25"/>
  <c r="AK36" i="25" l="1"/>
  <c r="AK53" i="25" s="1"/>
  <c r="X36" i="25"/>
  <c r="X53" i="25" s="1"/>
</calcChain>
</file>

<file path=xl/sharedStrings.xml><?xml version="1.0" encoding="utf-8"?>
<sst xmlns="http://schemas.openxmlformats.org/spreadsheetml/2006/main" count="11649" uniqueCount="978">
  <si>
    <t>Grantee Name:</t>
  </si>
  <si>
    <t>Contact Name(s):</t>
  </si>
  <si>
    <t>Physical Address of Program:</t>
  </si>
  <si>
    <t>Contact Phone(s):</t>
  </si>
  <si>
    <t>July 1 - 31</t>
  </si>
  <si>
    <t>April 1 - 30</t>
  </si>
  <si>
    <t>August 1 - 31</t>
  </si>
  <si>
    <t>May 1 - 31</t>
  </si>
  <si>
    <t>March 1 - 31</t>
  </si>
  <si>
    <t xml:space="preserve">2DEMOGRAPHICS </t>
  </si>
  <si>
    <t xml:space="preserve">Fiscal Year: </t>
  </si>
  <si>
    <t>2023 (09/30/2022 - 09/29/2023)</t>
  </si>
  <si>
    <t>x</t>
  </si>
  <si>
    <t>October 1 - 31</t>
  </si>
  <si>
    <t xml:space="preserve">1b) PHYSICAL AREA  (Cities/Counties/Work-Sites) SERVED BY GRANT </t>
  </si>
  <si>
    <t xml:space="preserve">1c) PERTINENT INFORMATION REGARDING THE PROGRAM </t>
  </si>
  <si>
    <t>OCT</t>
  </si>
  <si>
    <t>NOV</t>
  </si>
  <si>
    <t>DEC</t>
  </si>
  <si>
    <t>JAN</t>
  </si>
  <si>
    <t>FEB</t>
  </si>
  <si>
    <t>MAR</t>
  </si>
  <si>
    <t>APR</t>
  </si>
  <si>
    <t>MAY</t>
  </si>
  <si>
    <t>JUNE</t>
  </si>
  <si>
    <t>JULY</t>
  </si>
  <si>
    <t>AUG</t>
  </si>
  <si>
    <t>#</t>
  </si>
  <si>
    <t xml:space="preserve">PROGRAM PROGRESS REPORT </t>
  </si>
  <si>
    <t>OCTOBER</t>
  </si>
  <si>
    <t xml:space="preserve">NOVEMBER </t>
  </si>
  <si>
    <t>DECEMBER</t>
  </si>
  <si>
    <t>JANUARY</t>
  </si>
  <si>
    <t>FEBRUARY</t>
  </si>
  <si>
    <t>MARCH</t>
  </si>
  <si>
    <t>APRIL</t>
  </si>
  <si>
    <t>AUGUST</t>
  </si>
  <si>
    <t>SEPTEMBER</t>
  </si>
  <si>
    <t xml:space="preserve">2a) 8a) GRANTEE - PROGRAM INFORMATION: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</si>
  <si>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</si>
  <si>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</si>
  <si>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</si>
  <si>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</si>
  <si>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</si>
  <si>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2b) PROGRAM PROGRESS</t>
  </si>
  <si>
    <t xml:space="preserve">Make a strategic plan to identify, convene, and increase coordination and collaboration among stakeholders in the ODCP Regional Coordinator’s catchment area and between the ODCP Regional Coordinators statewide. </t>
  </si>
  <si>
    <t xml:space="preserve">Coordinates local entities regarding substance use disorder activities all along the continuum of care, prevention, early intervention, treatment, recovery and life supports. </t>
  </si>
  <si>
    <t xml:space="preserve">FMRS, Southern Highlands, &amp; Seneca are partners in a SAMHSA
NCTSN grant (RAPP, Y3) which requires NOMS intake assessmenB13:H20ts and reassessments at 6
months and a SAMHSA MAT grant (MARA, Y1) which requires GPRA assessments and
follow-ups at 3- &amp; 6-mo regardless of client service status. </t>
  </si>
  <si>
    <t>Southern Highlands is partnering with another CBHC on a SAMHSA offender re-entry grant program which also requires the 
GPRA (ARA, Y2).</t>
  </si>
  <si>
    <t xml:space="preserve">FAST will increase access to MAT using the 3 FDA-approved medications for OUD
treatment by adding two SUD/OUD therapists to provide new MAT services in Summers &amp;
Monroe counties and expanded MAT services in Raleigh and Fayette. </t>
  </si>
  <si>
    <t>FAST will hire a SUD Community Information Specialist (CIS) who will work to reduce opioid related deaths by educating &amp; empowering the community to refer individuals with OUD to FAST</t>
  </si>
  <si>
    <t>FAST will reduce unmet treatment need by reaching out into the community for
referrals via the SUD CIS. The SUD Liaison will track referrals.</t>
  </si>
  <si>
    <t xml:space="preserve">FAST will reduce opioid overdose related deaths through prevention, treatment, &amp;
recovery activities for OUD. The SUD CIS will empower the community to identify OUD and
engage with individuals so that referrals can be made and treatment accessed as early as possible. </t>
  </si>
  <si>
    <t>The CIS will train the community &amp; SUD/OUD individuals about Narcan &amp; harm reduction.
When referrals are made to FAST, clients can access the full array of services across Region 6.</t>
  </si>
  <si>
    <t xml:space="preserve"> number &amp; location of MAT providers, </t>
  </si>
  <si>
    <t>GPRA completion rates,</t>
  </si>
  <si>
    <t>number &amp; purpose of the MOUs executed &amp; procured</t>
  </si>
  <si>
    <t>operational procedures in support of
client retention/engagement &amp; the number</t>
  </si>
  <si>
    <t xml:space="preserve">Sustainability </t>
  </si>
  <si>
    <t>Objectives</t>
  </si>
  <si>
    <t>IMPLEMENTATION PLAN  OCT 2021</t>
  </si>
  <si>
    <t>Note Section for Column B                                         OCTOBER 2021</t>
  </si>
  <si>
    <t xml:space="preserve">IMPLEMENTATION PLAN  NOV 2021 </t>
  </si>
  <si>
    <t xml:space="preserve">Note Section for Column D                                                  NOV 20201 </t>
  </si>
  <si>
    <t>IMPLEMENTATION PLAN  DEC 2021</t>
  </si>
  <si>
    <t>Note Section for Column F                                             DEC 2021</t>
  </si>
  <si>
    <t>IMPLEMENTATION PLAN JAN 2022</t>
  </si>
  <si>
    <t>Note Section for Column H                                        JAN 2022</t>
  </si>
  <si>
    <t>IMPLEMENTATION PLAN FEB 2022</t>
  </si>
  <si>
    <t>Note Section for Column J                                            FEB 2022</t>
  </si>
  <si>
    <t>IMPLEMENTATION PLAN MAR 2022</t>
  </si>
  <si>
    <t>Note Section for Column L                                             MAR 2022</t>
  </si>
  <si>
    <t>IMPLEMENTATION PLAN   APR 2022</t>
  </si>
  <si>
    <t>Note Section for Column N                                                APR  2022</t>
  </si>
  <si>
    <t>IMPLEMENTATION PLAN   MAY 2022</t>
  </si>
  <si>
    <t>Note Section for Column P                                         MAY 2021</t>
  </si>
  <si>
    <t>IMPLEMENTATION PLAN  JUNE 2022</t>
  </si>
  <si>
    <t>Note Section for Column R                                           JUNE  2022</t>
  </si>
  <si>
    <t>IMPLEMENTATION PLAN   JULY 2022</t>
  </si>
  <si>
    <t>Note Section for Column T                                   JULY 2022</t>
  </si>
  <si>
    <t>IMPLEMENTATION PLAN AUG 2022</t>
  </si>
  <si>
    <t>Note Section for Column V                                      AUG  2022</t>
  </si>
  <si>
    <t>IMPLEMENTATION PLAN   SEPT 2022</t>
  </si>
  <si>
    <t xml:space="preserve">Note Section for Column X                                         SEPT 2022 </t>
  </si>
  <si>
    <t xml:space="preserve">GRANTEE / CONTRACTOR- PROGRAM INFORMATION:  (Any changes will need to be made on 1BASE GRANTEE INFO &amp; UPDATES Tab) </t>
  </si>
  <si>
    <t xml:space="preserve">Monthly Progress </t>
  </si>
  <si>
    <t>Note Section                                    OCTOBER 2021</t>
  </si>
  <si>
    <t xml:space="preserve">Note Section              NOV 20201 </t>
  </si>
  <si>
    <t>Note Section                                            DEC 2021</t>
  </si>
  <si>
    <t>Note Section                 JAN 2022</t>
  </si>
  <si>
    <t>Note Section                         FEB 2022</t>
  </si>
  <si>
    <t>Note Section                     MAR 2022</t>
  </si>
  <si>
    <t>Note Section                      APR  2022</t>
  </si>
  <si>
    <t>Coordinate between all local county agencies regarding overdose prevention, stigma reduction,
and treatment access</t>
  </si>
  <si>
    <t>In collaboration with state partners, utilize mapping tools to provide data on the geographic
distribution of substance use and overdoses</t>
  </si>
  <si>
    <t>Coordinate a monthly ‘incident review team’ to coordinate efforts to identify previous overdoses
and opportunities for improvement – including treatment providers, law enforcement, QRTs,
prevention professionals, local governments, health departments, harm reduction, and other
community partners</t>
  </si>
  <si>
    <t>Lead and coordinate a monthly county-based collaboration meeting where the main topic is
always – What else can we do? What are the gaps in the care continuum? What resources do
we need? Where is the problem? How do we find the people that will overdose tomorrow?
Next week?</t>
  </si>
  <si>
    <t>Identify local opportunities for multiple pathways to immediate treatment and recovery.</t>
  </si>
  <si>
    <t>Maintain a local registry of all available treatment and recovery programs including MOUD (with
rapid access numbers), recovery residences, treatment programs, 12 step and mutual help
programs, etc</t>
  </si>
  <si>
    <t>Hold regularly scheduled naloxone training</t>
  </si>
  <si>
    <t>Perform and coordinate community harm reduction outreach to new population</t>
  </si>
  <si>
    <t>Conduct targeted outreach efforts in non-traditional settings relevant to respective county (law enforcement offices, domestic violence shelters, libraries, gas stations, home visitation
programs, courts, rural health offices, homeless drop in centers/shelters, etc.</t>
  </si>
  <si>
    <t>Develop and distribute informational sheets on local naloxone resources</t>
  </si>
  <si>
    <t>Utilize available state data to educate local citizens and community groups on drug trends
including drugs used, geographic areas with more use, etc</t>
  </si>
  <si>
    <t>Coordinate with law enforcement and EMS on data logging tool implementation to strengthen
the mapping of overdose events to provide targeted geographic interventions</t>
  </si>
  <si>
    <t xml:space="preserve"> Coordinate and conduct stigma trainings for local organizations</t>
  </si>
  <si>
    <t>Apply for grants for ongoing funding and sustainability</t>
  </si>
  <si>
    <t xml:space="preserve"> Support groups such as Recovery Community Organizations (RCOs) to expand the supportive
network of recovery oriented individuals</t>
  </si>
  <si>
    <t>Work with local agencies and Jobs &amp; Hope WV to expand access to employment for people with
barriers due to a history of SUD</t>
  </si>
  <si>
    <t>Collaborate with all ODCP Regional Coordinators statewide on a monthly basis to share best
practices and lessons learned</t>
  </si>
  <si>
    <t>Develop a standardized set of policies and best practices for outreach and intervention models
(QRT, LEAD, etc.) as a toolkit to motivate positive change</t>
  </si>
  <si>
    <t>yes</t>
  </si>
  <si>
    <t>Yes</t>
  </si>
  <si>
    <t xml:space="preserve">Date of Activity </t>
  </si>
  <si>
    <t xml:space="preserve">Brief Description of Environmental Community Activity designed to mitigate Opioid Use </t>
  </si>
  <si>
    <t xml:space="preserve">Location (City/County) of Environmental Community Activity </t>
  </si>
  <si>
    <t xml:space="preserve">Was this a repeat Community Activity? </t>
  </si>
  <si>
    <t>NUMBER OF INDIVIDUALS PARTICIPATING IN ENVIRONMENTAL COMMUNITY ACTIVITY</t>
  </si>
  <si>
    <t>Was prevention information distributed to participants?</t>
  </si>
  <si>
    <t xml:space="preserve">2a) GRANTEE - PROGRAM INFORMATION: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</si>
  <si>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</si>
  <si>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</si>
  <si>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</si>
  <si>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</si>
  <si>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</si>
  <si>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2b) GENERAL PROGRAM INFORMATION </t>
  </si>
  <si>
    <t xml:space="preserve">Was this a repeat Environment Activity in the Community? </t>
  </si>
  <si>
    <t>NUMBER OF INDIVIDUALS PARTICIPATING IN COMMUNITY ACTIVITY</t>
  </si>
  <si>
    <t>Princeton, Mercer Co</t>
  </si>
  <si>
    <t>YES</t>
  </si>
  <si>
    <t>Bluefield, Mercer Co</t>
  </si>
  <si>
    <t>Beckley, Raleigh Co</t>
  </si>
  <si>
    <t>`</t>
  </si>
  <si>
    <t xml:space="preserve">Charleston, Kanawha Co </t>
  </si>
  <si>
    <t>Morgantown, Monongalia Co</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</si>
  <si>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</si>
  <si>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</si>
  <si>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</si>
  <si>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</si>
  <si>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</si>
  <si>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September 2021 through August 2022 </t>
  </si>
  <si>
    <t xml:space="preserve">TOPIC </t>
  </si>
  <si>
    <t>September 2021</t>
  </si>
  <si>
    <t xml:space="preserve">October 2021 </t>
  </si>
  <si>
    <t>November 2021</t>
  </si>
  <si>
    <t>December 2021</t>
  </si>
  <si>
    <t>January            2022</t>
  </si>
  <si>
    <t>February 2022</t>
  </si>
  <si>
    <t>March            2022</t>
  </si>
  <si>
    <t>April                    2022</t>
  </si>
  <si>
    <t>May                       2022</t>
  </si>
  <si>
    <t>June                   2022</t>
  </si>
  <si>
    <t>July                   2022`</t>
  </si>
  <si>
    <t xml:space="preserve">August                    2022  </t>
  </si>
  <si>
    <t>TOTAL  YEAR TO DATE</t>
  </si>
  <si>
    <t xml:space="preserve">Number of Enviromental Community Activities held to mitigate Opioid Use </t>
  </si>
  <si>
    <t xml:space="preserve">Repeat Community Activites Held in the Community </t>
  </si>
  <si>
    <t xml:space="preserve">Number of Individuals participating in Environmental Community Activities </t>
  </si>
  <si>
    <t xml:space="preserve">Was Prevention Information Given to Participant? </t>
  </si>
  <si>
    <t>September 2022 through August 2023</t>
  </si>
  <si>
    <t>September 2022</t>
  </si>
  <si>
    <t>October 2022</t>
  </si>
  <si>
    <t>November 2022</t>
  </si>
  <si>
    <t>December 2022</t>
  </si>
  <si>
    <t>January            2023</t>
  </si>
  <si>
    <t>February 2023</t>
  </si>
  <si>
    <t>March            2023</t>
  </si>
  <si>
    <t>April                    2023</t>
  </si>
  <si>
    <t>May                       2023</t>
  </si>
  <si>
    <t>June                   2023</t>
  </si>
  <si>
    <t>July                   2023`</t>
  </si>
  <si>
    <t>August                    2023</t>
  </si>
  <si>
    <t xml:space="preserve">Number of Repeat Community Activites Held </t>
  </si>
  <si>
    <r>
      <rPr>
        <b/>
        <sz val="11"/>
        <color theme="1"/>
        <rFont val="Arial"/>
        <family val="2"/>
      </rPr>
      <t>1.</t>
    </r>
    <r>
      <rPr>
        <b/>
        <sz val="7"/>
        <color theme="1"/>
        <rFont val="Times New Roman"/>
        <family val="1"/>
      </rPr>
      <t xml:space="preserve">    </t>
    </r>
    <r>
      <rPr>
        <b/>
        <sz val="11"/>
        <color theme="1"/>
        <rFont val="Arial"/>
        <family val="2"/>
      </rPr>
      <t xml:space="preserve">Grantee will work with BBH to collect the needed performance measures based on the specific activities planned and implemented. </t>
    </r>
  </si>
  <si>
    <r>
      <rPr>
        <b/>
        <sz val="11"/>
        <color theme="1"/>
        <rFont val="Arial"/>
        <family val="2"/>
      </rPr>
      <t>2.</t>
    </r>
    <r>
      <rPr>
        <b/>
        <sz val="7"/>
        <color theme="1"/>
        <rFont val="Times New Roman"/>
        <family val="1"/>
      </rPr>
      <t xml:space="preserve">    </t>
    </r>
    <r>
      <rPr>
        <b/>
        <sz val="11"/>
        <color theme="1"/>
        <rFont val="Arial"/>
        <family val="2"/>
      </rPr>
      <t>Maintain and provide documentation of ALL activities related to service area(s) indicated by:</t>
    </r>
  </si>
  <si>
    <r>
      <rPr>
        <sz val="11"/>
        <color theme="1"/>
        <rFont val="Arial"/>
        <family val="2"/>
      </rPr>
      <t>a.</t>
    </r>
    <r>
      <rPr>
        <sz val="7"/>
        <color theme="1"/>
        <rFont val="Times New Roman"/>
        <family val="1"/>
      </rPr>
      <t xml:space="preserve">    </t>
    </r>
    <r>
      <rPr>
        <sz val="11"/>
        <color theme="1"/>
        <rFont val="Arial"/>
        <family val="2"/>
      </rPr>
      <t>Number of Unduplicated Persons Served by Type of Activity</t>
    </r>
  </si>
  <si>
    <r>
      <rPr>
        <sz val="11"/>
        <color theme="1"/>
        <rFont val="Arial"/>
        <family val="2"/>
      </rPr>
      <t>b.</t>
    </r>
    <r>
      <rPr>
        <sz val="7"/>
        <color theme="1"/>
        <rFont val="Times New Roman"/>
        <family val="1"/>
      </rPr>
      <t xml:space="preserve">    </t>
    </r>
    <r>
      <rPr>
        <sz val="11"/>
        <color theme="1"/>
        <rFont val="Arial"/>
        <family val="2"/>
      </rPr>
      <t>Number of Unduplicated Persons Served by Age, Gender, Race and Ethnicity and Diagnosis(es)</t>
    </r>
  </si>
  <si>
    <r>
      <rPr>
        <b/>
        <sz val="11"/>
        <color theme="1"/>
        <rFont val="Arial"/>
        <family val="2"/>
      </rPr>
      <t>3.</t>
    </r>
    <r>
      <rPr>
        <b/>
        <sz val="7"/>
        <color theme="1"/>
        <rFont val="Times New Roman"/>
        <family val="1"/>
      </rPr>
      <t xml:space="preserve">    </t>
    </r>
    <r>
      <rPr>
        <b/>
        <sz val="11"/>
        <color theme="1"/>
        <rFont val="Arial"/>
        <family val="2"/>
      </rPr>
      <t>Maintain and provide documentation related to the following:</t>
    </r>
  </si>
  <si>
    <r>
      <rPr>
        <sz val="11"/>
        <color theme="1"/>
        <rFont val="Arial"/>
        <family val="2"/>
      </rPr>
      <t>a.</t>
    </r>
    <r>
      <rPr>
        <sz val="7"/>
        <color theme="1"/>
        <rFont val="Times New Roman"/>
        <family val="1"/>
      </rPr>
      <t xml:space="preserve">    </t>
    </r>
    <r>
      <rPr>
        <sz val="11"/>
        <color theme="1"/>
        <rFont val="Arial"/>
        <family val="2"/>
      </rPr>
      <t>Number of Cross Planning (Inter-agency meetings, Community Collaboratives, Regional Summits, Local Task Forces) initiatives, service activities (resource fairs, community presentations) implemented with other sectors indicating type and number.</t>
    </r>
  </si>
  <si>
    <r>
      <rPr>
        <sz val="11"/>
        <color theme="1"/>
        <rFont val="Arial"/>
        <family val="2"/>
      </rPr>
      <t>a.</t>
    </r>
    <r>
      <rPr>
        <sz val="7"/>
        <color theme="1"/>
        <rFont val="Times New Roman"/>
        <family val="1"/>
      </rPr>
      <t xml:space="preserve">    </t>
    </r>
    <r>
      <rPr>
        <sz val="11"/>
        <color theme="1"/>
        <rFont val="Arial"/>
        <family val="2"/>
      </rPr>
      <t>Number and type of professional development trainings/events attended.</t>
    </r>
  </si>
  <si>
    <r>
      <rPr>
        <sz val="11"/>
        <color theme="1"/>
        <rFont val="Arial"/>
        <family val="2"/>
      </rPr>
      <t>b.</t>
    </r>
    <r>
      <rPr>
        <sz val="7"/>
        <color theme="1"/>
        <rFont val="Times New Roman"/>
        <family val="1"/>
      </rPr>
      <t xml:space="preserve">    </t>
    </r>
    <r>
      <rPr>
        <sz val="11"/>
        <color theme="1"/>
        <rFont val="Arial"/>
        <family val="2"/>
      </rPr>
      <t>Number, type (focus groups, surveys, or key-informant interviews), and aggregate results of consumer feedback activities conducted.</t>
    </r>
  </si>
  <si>
    <r>
      <rPr>
        <b/>
        <sz val="11"/>
        <color theme="1"/>
        <rFont val="Arial"/>
        <family val="2"/>
      </rPr>
      <t>4.</t>
    </r>
    <r>
      <rPr>
        <b/>
        <sz val="7"/>
        <color theme="1"/>
        <rFont val="Times New Roman"/>
        <family val="1"/>
      </rPr>
      <t xml:space="preserve">    </t>
    </r>
    <r>
      <rPr>
        <b/>
        <sz val="11"/>
        <color theme="1"/>
        <rFont val="Arial"/>
        <family val="2"/>
      </rPr>
      <t xml:space="preserve">Maintain and provide documentation of:   </t>
    </r>
  </si>
  <si>
    <r>
      <rPr>
        <sz val="11"/>
        <color theme="1"/>
        <rFont val="Arial"/>
        <family val="2"/>
      </rPr>
      <t>a.</t>
    </r>
    <r>
      <rPr>
        <sz val="7"/>
        <color theme="1"/>
        <rFont val="Times New Roman"/>
        <family val="1"/>
      </rPr>
      <t xml:space="preserve">    </t>
    </r>
    <r>
      <rPr>
        <sz val="11"/>
        <color theme="1"/>
        <rFont val="Arial"/>
        <family val="2"/>
      </rPr>
      <t>Monthly qualitative descriptions of activities, including major accomplishments and barriers.</t>
    </r>
  </si>
  <si>
    <r>
      <rPr>
        <sz val="11"/>
        <color theme="1"/>
        <rFont val="Arial"/>
        <family val="2"/>
      </rPr>
      <t>b.</t>
    </r>
    <r>
      <rPr>
        <sz val="7"/>
        <color theme="1"/>
        <rFont val="Times New Roman"/>
        <family val="1"/>
      </rPr>
      <t xml:space="preserve">    </t>
    </r>
    <r>
      <rPr>
        <sz val="11"/>
        <color theme="1"/>
        <rFont val="Arial"/>
        <family val="2"/>
      </rPr>
      <t>Number of unduplicated overdoses, recurrent overdoses and overdose fatalities within service area.</t>
    </r>
  </si>
  <si>
    <r>
      <rPr>
        <sz val="11"/>
        <color theme="1"/>
        <rFont val="Arial"/>
        <family val="2"/>
      </rPr>
      <t>c.</t>
    </r>
    <r>
      <rPr>
        <sz val="7"/>
        <color theme="1"/>
        <rFont val="Times New Roman"/>
        <family val="1"/>
      </rPr>
      <t xml:space="preserve">     </t>
    </r>
    <r>
      <rPr>
        <sz val="11"/>
        <color theme="1"/>
        <rFont val="Arial"/>
        <family val="2"/>
      </rPr>
      <t>Number enrolled into insurance plan.</t>
    </r>
  </si>
  <si>
    <r>
      <rPr>
        <sz val="11"/>
        <color theme="1"/>
        <rFont val="Arial"/>
        <family val="2"/>
      </rPr>
      <t>d.</t>
    </r>
    <r>
      <rPr>
        <sz val="7"/>
        <color theme="1"/>
        <rFont val="Times New Roman"/>
        <family val="1"/>
      </rPr>
      <t xml:space="preserve">    </t>
    </r>
    <r>
      <rPr>
        <sz val="11"/>
        <color theme="1"/>
        <rFont val="Arial"/>
        <family val="2"/>
      </rPr>
      <t>Number of unduplicated persons receive medication for OUD by type.</t>
    </r>
  </si>
  <si>
    <r>
      <rPr>
        <sz val="11"/>
        <color theme="1"/>
        <rFont val="Arial"/>
        <family val="2"/>
      </rPr>
      <t>e.</t>
    </r>
    <r>
      <rPr>
        <sz val="7"/>
        <color theme="1"/>
        <rFont val="Times New Roman"/>
        <family val="1"/>
      </rPr>
      <t xml:space="preserve">    </t>
    </r>
    <r>
      <rPr>
        <sz val="11"/>
        <color theme="1"/>
        <rFont val="Arial"/>
        <family val="2"/>
      </rPr>
      <t>Number of unduplicated persons who enter treatment programs other than those providing federally approved medication by type.</t>
    </r>
  </si>
  <si>
    <r>
      <rPr>
        <sz val="11"/>
        <color theme="1"/>
        <rFont val="Arial"/>
        <family val="2"/>
      </rPr>
      <t>f.</t>
    </r>
    <r>
      <rPr>
        <sz val="7"/>
        <color theme="1"/>
        <rFont val="Times New Roman"/>
        <family val="1"/>
      </rPr>
      <t xml:space="preserve">      </t>
    </r>
    <r>
      <rPr>
        <sz val="11"/>
        <color theme="1"/>
        <rFont val="Arial"/>
        <family val="2"/>
      </rPr>
      <t>Number of Participants by Age, Gender, Race, and Ethnicity who have remained engaged in treatment 3 months after initial QRT contact by treatment type, including treatment with medication and contingency management for stimulant misuse; at 6 months after initial QRT contact by treatment type, including treatment with medication and contingency management for stimulant use disorder.</t>
    </r>
  </si>
  <si>
    <r>
      <rPr>
        <sz val="11"/>
        <color theme="1"/>
        <rFont val="Arial"/>
        <family val="2"/>
      </rPr>
      <t>g.</t>
    </r>
    <r>
      <rPr>
        <sz val="7"/>
        <color theme="1"/>
        <rFont val="Times New Roman"/>
        <family val="1"/>
      </rPr>
      <t xml:space="preserve">    </t>
    </r>
    <r>
      <rPr>
        <sz val="11"/>
        <color theme="1"/>
        <rFont val="Arial"/>
        <family val="2"/>
      </rPr>
      <t xml:space="preserve">Number of Family Members or Friends by Age, Gender, Race, and Ethnicity provided treatment resource information. </t>
    </r>
  </si>
  <si>
    <r>
      <rPr>
        <sz val="11"/>
        <color theme="1"/>
        <rFont val="Arial"/>
        <family val="2"/>
      </rPr>
      <t>h.</t>
    </r>
    <r>
      <rPr>
        <sz val="7"/>
        <color theme="1"/>
        <rFont val="Times New Roman"/>
        <family val="1"/>
      </rPr>
      <t xml:space="preserve">    </t>
    </r>
    <r>
      <rPr>
        <sz val="11"/>
        <color theme="1"/>
        <rFont val="Arial"/>
        <family val="2"/>
      </rPr>
      <t>Number of Follow-up Contacts with Overdose Survivors who are not ready for treatment.</t>
    </r>
  </si>
  <si>
    <r>
      <rPr>
        <b/>
        <sz val="11"/>
        <color theme="1"/>
        <rFont val="Arial"/>
        <family val="2"/>
      </rPr>
      <t>5.</t>
    </r>
    <r>
      <rPr>
        <b/>
        <sz val="7"/>
        <color theme="1"/>
        <rFont val="Times New Roman"/>
        <family val="1"/>
      </rPr>
      <t xml:space="preserve">    </t>
    </r>
    <r>
      <rPr>
        <b/>
        <sz val="11"/>
        <color theme="1"/>
        <rFont val="Arial"/>
        <family val="2"/>
      </rPr>
      <t>Maintain and provide documentation related to the following:</t>
    </r>
  </si>
  <si>
    <r>
      <rPr>
        <sz val="11"/>
        <color theme="1"/>
        <rFont val="Arial"/>
        <family val="2"/>
      </rPr>
      <t>a.</t>
    </r>
    <r>
      <rPr>
        <sz val="7"/>
        <color theme="1"/>
        <rFont val="Times New Roman"/>
        <family val="1"/>
      </rPr>
      <t xml:space="preserve">    </t>
    </r>
    <r>
      <rPr>
        <sz val="11"/>
        <color theme="1"/>
        <rFont val="Arial"/>
        <family val="2"/>
      </rPr>
      <t>Continued engagement initiatives between response agencies, including type and number.</t>
    </r>
  </si>
  <si>
    <r>
      <rPr>
        <sz val="11"/>
        <color theme="1"/>
        <rFont val="Arial"/>
        <family val="2"/>
      </rPr>
      <t>b.</t>
    </r>
    <r>
      <rPr>
        <sz val="7"/>
        <color theme="1"/>
        <rFont val="Times New Roman"/>
        <family val="1"/>
      </rPr>
      <t xml:space="preserve">    </t>
    </r>
    <r>
      <rPr>
        <sz val="11"/>
        <color theme="1"/>
        <rFont val="Arial"/>
        <family val="2"/>
      </rPr>
      <t>Number of service activities (outreach, events) with other sectors indicating type and number.</t>
    </r>
  </si>
  <si>
    <r>
      <rPr>
        <sz val="11"/>
        <color theme="1"/>
        <rFont val="Arial"/>
        <family val="2"/>
      </rPr>
      <t>c.</t>
    </r>
    <r>
      <rPr>
        <sz val="7"/>
        <color theme="1"/>
        <rFont val="Times New Roman"/>
        <family val="1"/>
      </rPr>
      <t xml:space="preserve">     </t>
    </r>
    <r>
      <rPr>
        <sz val="11"/>
        <color theme="1"/>
        <rFont val="Arial"/>
        <family val="2"/>
      </rPr>
      <t>Number and type of professional development trainings attended and provided. Log should include date, number of attendees by profession, funding source of training, etc…</t>
    </r>
  </si>
  <si>
    <r>
      <rPr>
        <sz val="11"/>
        <color theme="1"/>
        <rFont val="Arial"/>
        <family val="2"/>
      </rPr>
      <t>d.</t>
    </r>
    <r>
      <rPr>
        <sz val="7"/>
        <color theme="1"/>
        <rFont val="Times New Roman"/>
        <family val="1"/>
      </rPr>
      <t xml:space="preserve">    </t>
    </r>
    <r>
      <rPr>
        <sz val="11"/>
        <color theme="1"/>
        <rFont val="Arial"/>
        <family val="2"/>
      </rPr>
      <t>Number, type (surveys, or key-informant interviews), and aggregate results of consumer feedback activities conducted.</t>
    </r>
  </si>
  <si>
    <r>
      <rPr>
        <sz val="11"/>
        <color theme="1"/>
        <rFont val="Arial"/>
        <family val="2"/>
      </rPr>
      <t>e.</t>
    </r>
    <r>
      <rPr>
        <sz val="7"/>
        <color theme="1"/>
        <rFont val="Times New Roman"/>
        <family val="1"/>
      </rPr>
      <t xml:space="preserve">    </t>
    </r>
    <r>
      <rPr>
        <sz val="11"/>
        <color theme="1"/>
        <rFont val="Arial"/>
        <family val="2"/>
      </rPr>
      <t>Log of stakeholder concerns and proposed/implemented resolutions.</t>
    </r>
  </si>
  <si>
    <r>
      <rPr>
        <b/>
        <sz val="11"/>
        <color theme="1"/>
        <rFont val="Arial"/>
        <family val="2"/>
      </rPr>
      <t>6.</t>
    </r>
    <r>
      <rPr>
        <b/>
        <sz val="7"/>
        <color theme="1"/>
        <rFont val="Times New Roman"/>
        <family val="1"/>
      </rPr>
      <t xml:space="preserve">    </t>
    </r>
    <r>
      <rPr>
        <b/>
        <sz val="11"/>
        <color theme="1"/>
        <rFont val="Arial"/>
        <family val="2"/>
      </rPr>
      <t xml:space="preserve">Plans drafted to help with program implementation and sustainability. </t>
    </r>
  </si>
  <si>
    <r>
      <rPr>
        <b/>
        <sz val="11"/>
        <color theme="1"/>
        <rFont val="Arial"/>
        <family val="2"/>
      </rPr>
      <t>7.</t>
    </r>
    <r>
      <rPr>
        <b/>
        <sz val="7"/>
        <color theme="1"/>
        <rFont val="Times New Roman"/>
        <family val="1"/>
      </rPr>
      <t xml:space="preserve">    </t>
    </r>
    <r>
      <rPr>
        <b/>
        <sz val="11"/>
        <color theme="1"/>
        <rFont val="Arial"/>
        <family val="2"/>
      </rPr>
      <t xml:space="preserve">Submit all data as related to the Expected Outcomes/Performance Measures within 25 calendar days of the end of each month to BBH’s Data Reporting Mailbox:  </t>
    </r>
    <r>
      <rPr>
        <b/>
        <u/>
        <sz val="11"/>
        <color rgb="FF0000FF"/>
        <rFont val="Arial"/>
        <family val="2"/>
      </rPr>
      <t>DHHRBBHReporting@wv.gov</t>
    </r>
    <r>
      <rPr>
        <b/>
        <sz val="11"/>
        <color theme="1"/>
        <rFont val="Arial"/>
        <family val="2"/>
      </rPr>
      <t xml:space="preserve">; or, if previously approved, through the CSDR reporting system. </t>
    </r>
  </si>
  <si>
    <r>
      <rPr>
        <b/>
        <sz val="11"/>
        <color theme="1"/>
        <rFont val="Arial"/>
        <family val="2"/>
      </rPr>
      <t>8.</t>
    </r>
    <r>
      <rPr>
        <b/>
        <sz val="7"/>
        <color theme="1"/>
        <rFont val="Times New Roman"/>
        <family val="1"/>
      </rPr>
      <t xml:space="preserve">    </t>
    </r>
    <r>
      <rPr>
        <b/>
        <sz val="11"/>
        <color theme="1"/>
        <rFont val="Arial"/>
        <family val="2"/>
      </rPr>
      <t>More information on SOR can be found on at https://dhhr.wv.gov/BBH/resources/SOR/Pages/default.aspx</t>
    </r>
    <r>
      <rPr>
        <b/>
        <sz val="11"/>
        <color rgb="FF2582D5"/>
        <rFont val="Arial"/>
        <family val="2"/>
      </rPr>
      <t> </t>
    </r>
    <r>
      <rPr>
        <b/>
        <sz val="11"/>
        <color theme="1"/>
        <rFont val="Arial"/>
        <family val="2"/>
      </rPr>
      <t xml:space="preserve"> and information on BBH is also available online at https://dhhr.wv.gov/BBH/Pages/default.aspx</t>
    </r>
    <r>
      <rPr>
        <b/>
        <sz val="11"/>
        <color rgb="FF201F1E"/>
        <rFont val="Calibri"/>
        <family val="2"/>
      </rPr>
      <t xml:space="preserve">. </t>
    </r>
  </si>
  <si>
    <t>AGE</t>
  </si>
  <si>
    <t>Race</t>
  </si>
  <si>
    <t>GENDER</t>
  </si>
  <si>
    <t>Diagnosis</t>
  </si>
  <si>
    <t xml:space="preserve">Medical Insurance at time of admission </t>
  </si>
  <si>
    <t>HIV Testing</t>
  </si>
  <si>
    <t>FOLLOW-UP</t>
  </si>
  <si>
    <t>OUTCOME</t>
  </si>
  <si>
    <t>Hepatitis B Testing</t>
  </si>
  <si>
    <t xml:space="preserve">FOLLOW-UP </t>
  </si>
  <si>
    <t xml:space="preserve">OUTCOME </t>
  </si>
  <si>
    <t>Hepatitis C testing</t>
  </si>
  <si>
    <t>Hepatitis C Testing</t>
  </si>
  <si>
    <t>Internal Space for Grantee (will auto populate)</t>
  </si>
  <si>
    <t>Internal Permanent ID (will auto populate)</t>
  </si>
  <si>
    <t xml:space="preserve">DATE  of Referral to Program (will auto populate ) </t>
  </si>
  <si>
    <t>Date of Admission to FAST (will auto populate)</t>
  </si>
  <si>
    <t>Was the uninsured eligible person enrolled in health insurance during stay</t>
  </si>
  <si>
    <t>Date Screening Completed</t>
  </si>
  <si>
    <t>ASAM LEVEL OF CARE - If other is selected specify in Column I</t>
  </si>
  <si>
    <t>NOTE SECTION FOR COLUMN H</t>
  </si>
  <si>
    <t xml:space="preserve">handed off' to appropriate ASAM level of Care: </t>
  </si>
  <si>
    <t>Name fo Entity, City, County  in which client was 'handed-off'</t>
  </si>
  <si>
    <t xml:space="preserve">3a) GRANTEE - PROGRAM INFORMOUDION: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</si>
  <si>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</si>
  <si>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</si>
  <si>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</si>
  <si>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</si>
  <si>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</si>
  <si>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3b) Other Services </t>
  </si>
  <si>
    <t>1: ASAM Level of Care - Outpatient</t>
  </si>
  <si>
    <t>NO</t>
  </si>
  <si>
    <t>2.1:  ASAM Level of Care - Intensive Outpatient</t>
  </si>
  <si>
    <t>2.5:  ASAM Level of Care - Partial Hospitalization Services</t>
  </si>
  <si>
    <t>3.1:  Clinically Managed Lo-Intensity Residential Services</t>
  </si>
  <si>
    <t>3.3: Clinlically Managed Population-Specific High-Intensity Residential Services</t>
  </si>
  <si>
    <t>3.5:  Clinically Managed High Intensity Residential Services</t>
  </si>
  <si>
    <t>3.7: Medically Monred Intensive Inpatient Serivces</t>
  </si>
  <si>
    <t xml:space="preserve">4: Medical Managed Intensive Inpatient Services </t>
  </si>
  <si>
    <t xml:space="preserve">Other (Specify) </t>
  </si>
  <si>
    <t xml:space="preserve">DATE  of Referral to Program (MM/DD/YYYY)(will auto populate ) </t>
  </si>
  <si>
    <t>Date of Admission to FAST (MM/DD/YYYY) (will auto populate)</t>
  </si>
  <si>
    <t xml:space="preserve">GPRA COMPLETED AT INTAKE </t>
  </si>
  <si>
    <t>30 DAYS from service onset(Date will auto populate)</t>
  </si>
  <si>
    <t>30 Days                                      Telehealth</t>
  </si>
  <si>
    <t>30 Days                     Peer Recovery Support</t>
  </si>
  <si>
    <t xml:space="preserve">30  Days                                                                              # Other: Specify in Column K Note Section </t>
  </si>
  <si>
    <t>NOTE     SECTION FOR COLUMN J</t>
  </si>
  <si>
    <t>60 DAYS from service onset (Date will auto populate)</t>
  </si>
  <si>
    <t>60 Days           Telehealth</t>
  </si>
  <si>
    <t>60 Days                            Peer Recovery Support</t>
  </si>
  <si>
    <t xml:space="preserve">60 Days                               Other: Specify in Column P Note Section </t>
  </si>
  <si>
    <t xml:space="preserve">NOTE SECTION FOR COLUMN O </t>
  </si>
  <si>
    <t xml:space="preserve">GPRA COMPLETED AT 90 Days </t>
  </si>
  <si>
    <t>90 DAYS from service onset (Date will auto populate)</t>
  </si>
  <si>
    <t>90 Days                     Telehealth</t>
  </si>
  <si>
    <t>90 Days                    Peer Recovery Support</t>
  </si>
  <si>
    <t xml:space="preserve">90 Days                   Other: Specify in Column U Note Section </t>
  </si>
  <si>
    <t>NOTE SECTION FOR COLUMN T</t>
  </si>
  <si>
    <t>GPRA COMPLETED AT 6 Months</t>
  </si>
  <si>
    <t>6 MONTHS  from service onset (Date will auto populate)</t>
  </si>
  <si>
    <t xml:space="preserve">6 mo                     Telehealth -  </t>
  </si>
  <si>
    <t>6 mo                                            Peer Recovery Support</t>
  </si>
  <si>
    <t xml:space="preserve">6 mo                                                            Other: Specify in Column Z Note Section </t>
  </si>
  <si>
    <t>NOTE     SECTION FOR COLUMN Y</t>
  </si>
  <si>
    <t>1 YEAR from service onset (Date will auto populate)</t>
  </si>
  <si>
    <t xml:space="preserve">1 yr                           Telehealth </t>
  </si>
  <si>
    <t>1 yr                               Peer Recovery Support</t>
  </si>
  <si>
    <t xml:space="preserve">1 yr                                                                                                    Other: Specify in  Column AF  Note Section </t>
  </si>
  <si>
    <t>NOTE SECTION FOR COLUMN AE</t>
  </si>
  <si>
    <t>DATE OF DISCHARGE</t>
  </si>
  <si>
    <t>Discharge         Telehealth</t>
  </si>
  <si>
    <t>Discharge           Peer Recovery Support</t>
  </si>
  <si>
    <t>Discharge                  Other: Specify in Note Section</t>
  </si>
  <si>
    <t xml:space="preserve">NOTE SECTION </t>
  </si>
  <si>
    <t>LOS At time of Discharge</t>
  </si>
  <si>
    <t>GPRA Completed at Discharge</t>
  </si>
  <si>
    <t xml:space="preserve">5a) GRANTEE - PROGRAM INFORMATION: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</si>
  <si>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</si>
  <si>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</si>
  <si>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</si>
  <si>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</si>
  <si>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</si>
  <si>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5b) FOLLOW-UP GPRA </t>
  </si>
  <si>
    <t>30 DAYS from service onset (Date will auto populate)</t>
  </si>
  <si>
    <t>NOTE     SECTION FOR COLUMN O</t>
  </si>
  <si>
    <t>NOTE     SECTION FOR COLUMN T</t>
  </si>
  <si>
    <t xml:space="preserve">Source of Referral </t>
  </si>
  <si>
    <t xml:space="preserve">NOTE SECTiON For COLUMN E </t>
  </si>
  <si>
    <t>Date of Admission to Program  (will auto populate)</t>
  </si>
  <si>
    <t>Suicide Risk Screening Completed</t>
  </si>
  <si>
    <r>
      <rPr>
        <b/>
        <sz val="8"/>
        <color theme="1"/>
        <rFont val="Calibri"/>
        <family val="2"/>
      </rPr>
      <t xml:space="preserve">Date Suicide Risk Screening Completed  </t>
    </r>
    <r>
      <rPr>
        <sz val="8"/>
        <color theme="1"/>
        <rFont val="Calibri"/>
        <family val="2"/>
      </rPr>
      <t>(Month Day, Year - 00/00/0000)</t>
    </r>
  </si>
  <si>
    <t xml:space="preserve">Overdose Screening Completed </t>
  </si>
  <si>
    <r>
      <rPr>
        <b/>
        <sz val="8"/>
        <color theme="1"/>
        <rFont val="Calibri"/>
        <family val="2"/>
      </rPr>
      <t xml:space="preserve">Date Overdose Screening Completed  </t>
    </r>
    <r>
      <rPr>
        <sz val="8"/>
        <color theme="1"/>
        <rFont val="Calibri"/>
        <family val="2"/>
      </rPr>
      <t>(Month Day, Year - 00/00/0000)</t>
    </r>
  </si>
  <si>
    <t xml:space="preserve">Referred for MOUD, OUD, Other TX Services (specify in Notes), or a combination  </t>
  </si>
  <si>
    <r>
      <rPr>
        <b/>
        <sz val="8"/>
        <color theme="1"/>
        <rFont val="Calibri"/>
        <family val="2"/>
      </rPr>
      <t xml:space="preserve">DATE Referred to TX Services   </t>
    </r>
    <r>
      <rPr>
        <sz val="8"/>
        <color theme="1"/>
        <rFont val="Calibri"/>
        <family val="2"/>
      </rPr>
      <t>(Month Day, Year - 00/00/0000)</t>
    </r>
  </si>
  <si>
    <t xml:space="preserve">Motivational Interviewing   </t>
  </si>
  <si>
    <t xml:space="preserve">SBIRT    </t>
  </si>
  <si>
    <t xml:space="preserve">Cognitive-Behavioral Therapy (CBT)       </t>
  </si>
  <si>
    <t xml:space="preserve"> Dialectical Behavioral Therapy (DBT)    </t>
  </si>
  <si>
    <t xml:space="preserve">Contingency Management Interventions/Motivational Incentives </t>
  </si>
  <si>
    <t xml:space="preserve">Motivational Enhancement Therapy (MET)           </t>
  </si>
  <si>
    <t xml:space="preserve">The Matrix Model </t>
  </si>
  <si>
    <t xml:space="preserve">Medication-Assisted Treatment (MAT)          </t>
  </si>
  <si>
    <t xml:space="preserve">12-Step Facilitation Therapy       </t>
  </si>
  <si>
    <t xml:space="preserve">Family Behavior Therapy (FBT)     </t>
  </si>
  <si>
    <t xml:space="preserve">Seeking Safety (for Trauma/PTSD and Addiction)  </t>
  </si>
  <si>
    <t xml:space="preserve">Relapse Prevention Therapy         </t>
  </si>
  <si>
    <t xml:space="preserve">Client-Centered/Shared Decision Making          </t>
  </si>
  <si>
    <t xml:space="preserve">                   Other (List in Notes)             </t>
  </si>
  <si>
    <t xml:space="preserve">4a) GRANTEE - PROGRAM INFORMOUDION: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</si>
  <si>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</si>
  <si>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</si>
  <si>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</si>
  <si>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t xml:space="preserve">USE TX LISTED IN SOW </t>
  </si>
  <si>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</si>
  <si>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</si>
  <si>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4b) Other Services </t>
  </si>
  <si>
    <t>HOUSING</t>
  </si>
  <si>
    <t>EMPLOYMENT</t>
  </si>
  <si>
    <t>EDUCATIONAL</t>
  </si>
  <si>
    <t>MEDICAL</t>
  </si>
  <si>
    <t>MH COUNSELING</t>
  </si>
  <si>
    <t>CHILDCARE</t>
  </si>
  <si>
    <t>TRANSPORTATION</t>
  </si>
  <si>
    <t>SUPPORT GROUPS</t>
  </si>
  <si>
    <t xml:space="preserve">Peer Recovery </t>
  </si>
  <si>
    <t>Date of Admission to Program (will auto populate)</t>
  </si>
  <si>
    <r>
      <rPr>
        <b/>
        <sz val="8"/>
        <color theme="1"/>
        <rFont val="Calibri"/>
        <family val="2"/>
      </rPr>
      <t xml:space="preserve">Date Suicide Risk Screening Completed  </t>
    </r>
    <r>
      <rPr>
        <sz val="8"/>
        <color theme="1"/>
        <rFont val="Calibri"/>
        <family val="2"/>
      </rPr>
      <t>(Month Day, Year - 00/00/0000)</t>
    </r>
  </si>
  <si>
    <r>
      <rPr>
        <b/>
        <sz val="8"/>
        <color theme="1"/>
        <rFont val="Calibri"/>
        <family val="2"/>
      </rPr>
      <t xml:space="preserve">Date Overdose Screening Completed  </t>
    </r>
    <r>
      <rPr>
        <sz val="8"/>
        <color theme="1"/>
        <rFont val="Calibri"/>
        <family val="2"/>
      </rPr>
      <t>(Month Day, Year - 00/00/0000)</t>
    </r>
  </si>
  <si>
    <r>
      <rPr>
        <b/>
        <sz val="8"/>
        <color theme="1"/>
        <rFont val="Calibri"/>
        <family val="2"/>
      </rPr>
      <t xml:space="preserve">DATE Referred to TX Services   </t>
    </r>
    <r>
      <rPr>
        <sz val="8"/>
        <color theme="1"/>
        <rFont val="Calibri"/>
        <family val="2"/>
      </rPr>
      <t>(Month Day, Year - 00/00/0000)</t>
    </r>
  </si>
  <si>
    <t>Was client Discharged</t>
  </si>
  <si>
    <t>Date of Discharge</t>
  </si>
  <si>
    <t xml:space="preserve">Reason for Discharge </t>
  </si>
  <si>
    <t xml:space="preserve">Discharged to: (Physical location and proposed services) </t>
  </si>
  <si>
    <t>Family</t>
  </si>
  <si>
    <t xml:space="preserve">Referred to an  equivalent program  </t>
  </si>
  <si>
    <t xml:space="preserve">Follow up after referral to TX  or Referral to Resources Needed </t>
  </si>
  <si>
    <t>Reason for Follow-up -</t>
  </si>
  <si>
    <r>
      <rPr>
        <b/>
        <sz val="11"/>
        <color theme="1"/>
        <rFont val="Calibri"/>
        <family val="2"/>
      </rPr>
      <t xml:space="preserve">DATE of Follow up   </t>
    </r>
    <r>
      <rPr>
        <sz val="8"/>
        <color theme="1"/>
        <rFont val="Calibri"/>
        <family val="2"/>
      </rPr>
      <t>(Month Day, Year - 00/00/0000)</t>
    </r>
  </si>
  <si>
    <t xml:space="preserve">Outcome of Follow-up </t>
  </si>
  <si>
    <t>NOTES</t>
  </si>
  <si>
    <t>MH Provider</t>
  </si>
  <si>
    <t xml:space="preserve">mutually agreed cessation </t>
  </si>
  <si>
    <t>School Staff</t>
  </si>
  <si>
    <t xml:space="preserve">Withdrew from / DECLINED </t>
  </si>
  <si>
    <t>Child Welfare</t>
  </si>
  <si>
    <t xml:space="preserve">Other (Specify in Notes) </t>
  </si>
  <si>
    <t xml:space="preserve">Probation Officer </t>
  </si>
  <si>
    <t>Primary Care Physician</t>
  </si>
  <si>
    <t>Emergency Room / Department</t>
  </si>
  <si>
    <t>Law Enforcement</t>
  </si>
  <si>
    <t>Self</t>
  </si>
  <si>
    <t xml:space="preserve">Internal (Grantee referral) </t>
  </si>
  <si>
    <t>Other - Specify in Note Section</t>
  </si>
  <si>
    <t>Housing</t>
  </si>
  <si>
    <t>Employment</t>
  </si>
  <si>
    <t>Educational</t>
  </si>
  <si>
    <t>Medical</t>
  </si>
  <si>
    <t>MH Counseling</t>
  </si>
  <si>
    <t>Childcare</t>
  </si>
  <si>
    <t>Transportation</t>
  </si>
  <si>
    <t>Support Groups</t>
  </si>
  <si>
    <t>Peer Recovery Services</t>
  </si>
  <si>
    <t xml:space="preserve">Other (Specify In Column T) </t>
  </si>
  <si>
    <t xml:space="preserve">Note Section for Column S </t>
  </si>
  <si>
    <t xml:space="preserve">Other (Specify In Column V) </t>
  </si>
  <si>
    <t>Note Section for Column U</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</si>
  <si>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</si>
  <si>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</si>
  <si>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</si>
  <si>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</si>
  <si>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</si>
  <si>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OTHER (Specify In Column AR) </t>
  </si>
  <si>
    <t xml:space="preserve">OTHER (Specify In Column AV) </t>
  </si>
  <si>
    <t>DISCHARGE</t>
  </si>
  <si>
    <t xml:space="preserve">Other (Specify        In Column V) </t>
  </si>
  <si>
    <t>Offered</t>
  </si>
  <si>
    <t>Successful Face to Face</t>
  </si>
  <si>
    <t xml:space="preserve">Referred </t>
  </si>
  <si>
    <t>no</t>
  </si>
  <si>
    <t>Successful Telehealth</t>
  </si>
  <si>
    <t xml:space="preserve">Both </t>
  </si>
  <si>
    <t>refused</t>
  </si>
  <si>
    <t xml:space="preserve">Successful Telephone </t>
  </si>
  <si>
    <t xml:space="preserve">unable to contact </t>
  </si>
  <si>
    <t xml:space="preserve">Successful Virtual </t>
  </si>
  <si>
    <t xml:space="preserve">Not Successful </t>
  </si>
  <si>
    <t xml:space="preserve">Peer Recovery Support Specialist </t>
  </si>
  <si>
    <t xml:space="preserve">Internal Space for Grantee (will auto populate to other tabs) </t>
  </si>
  <si>
    <t xml:space="preserve">Internal Permanent ID (will auto populate to other tabs) </t>
  </si>
  <si>
    <t xml:space="preserve">DATE  of Referral to Program  (will auto populate to other tabs) </t>
  </si>
  <si>
    <t xml:space="preserve">Date of Admission to Program (will auto populate to other tabs) </t>
  </si>
  <si>
    <t>Initials of Peer Support Staff Assigned to Resident needs to match initials in 1BASE GRANTEE INFO AND UPDATES tab</t>
  </si>
  <si>
    <t xml:space="preserve">Date Resident Provided with a full orientation to the Program </t>
  </si>
  <si>
    <t xml:space="preserve">Date Individualized Recovery Plan completed </t>
  </si>
  <si>
    <t>aaaaa11111aaaaa</t>
  </si>
  <si>
    <t xml:space="preserve">Referral Source for Admission (If other is selected specify in Column F) </t>
  </si>
  <si>
    <t xml:space="preserve">Note Section for Column E </t>
  </si>
  <si>
    <t>Date of Admission to Program (MM/DD/YYYY) (will auto populate)</t>
  </si>
  <si>
    <t xml:space="preserve">Was Assessment Completed at time of Admission (Intake)?  If no Specify why in Column I note section </t>
  </si>
  <si>
    <t xml:space="preserve">If time span &gt; 0 [SAME DAY], what resources / support were provided in the interim </t>
  </si>
  <si>
    <t xml:space="preserve">Admitted to appropriate ASAM level of Care: </t>
  </si>
  <si>
    <t>ASAM LEVEL OF CARE - If other is selected specify in Column M</t>
  </si>
  <si>
    <t>NOTE SECTION FOR COLUMN L</t>
  </si>
  <si>
    <t xml:space="preserve">Type of FDA approved MOUD Utilized by Client (Choose One, if Change MOUD type is selected explain in Column O Note Section) </t>
  </si>
  <si>
    <t>Note Section for Column N</t>
  </si>
  <si>
    <t>Compliant with SAMHSA Prohibition of the USE of SOR funding for Opioid Detox.                                                                  If no go to Column Q</t>
  </si>
  <si>
    <t xml:space="preserve">If no, is detoxification accompanied by extended release naltrexone? </t>
  </si>
  <si>
    <t xml:space="preserve">Client  on MOUD at time of admission to program </t>
  </si>
  <si>
    <t xml:space="preserve"> Client referred for MOUD at admission or during stay at program  </t>
  </si>
  <si>
    <t>admitted to MOUD while in program</t>
  </si>
  <si>
    <t xml:space="preserve"> remained on the following MOUD during stay in program </t>
  </si>
  <si>
    <t xml:space="preserve">Date  Started MOUD </t>
  </si>
  <si>
    <t xml:space="preserve">Span from Referral to when started Program </t>
  </si>
  <si>
    <t xml:space="preserve">Receiving Contingency Management at time of admission </t>
  </si>
  <si>
    <t xml:space="preserve"> Client referred for Contingency Management at admission or during stay at program  </t>
  </si>
  <si>
    <t>admitted to Contingency Management while in program</t>
  </si>
  <si>
    <t xml:space="preserve"> remained on the following Contingency Management during stay in program </t>
  </si>
  <si>
    <t xml:space="preserve">Date  Started Contingency Management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</si>
  <si>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</si>
  <si>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</si>
  <si>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</si>
  <si>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</si>
  <si>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</si>
  <si>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3b) Medication for Opioid Use Disorder (MOUD)</t>
  </si>
  <si>
    <t xml:space="preserve">OPIOID USE DISORDER </t>
  </si>
  <si>
    <t xml:space="preserve">STIMULANT USE DISORDER </t>
  </si>
  <si>
    <t>Referral Source for Admission</t>
  </si>
  <si>
    <t>Emergency Department</t>
  </si>
  <si>
    <t>Methadone</t>
  </si>
  <si>
    <t>Hospital Inpatient Treatment Unit</t>
  </si>
  <si>
    <t>Buprenorphine (Oral/Sublingual/Buccal)</t>
  </si>
  <si>
    <t>Detoxification Services (hospital)</t>
  </si>
  <si>
    <t>Buprenorphine - Injectable</t>
  </si>
  <si>
    <t>Detoxification Services (residential)</t>
  </si>
  <si>
    <t>Buprenorphine Implant</t>
  </si>
  <si>
    <t>Substance Use Residential Services</t>
  </si>
  <si>
    <t>Naltrexone - Oral</t>
  </si>
  <si>
    <t>Correctional Detention Facilities</t>
  </si>
  <si>
    <t>Naltrexone - Injectable</t>
  </si>
  <si>
    <t xml:space="preserve">Changed MOUD Type (Explain in Notes) </t>
  </si>
  <si>
    <r>
      <rPr>
        <b/>
        <sz val="10"/>
        <color rgb="FF0070C0"/>
        <rFont val="Calibri"/>
        <family val="2"/>
      </rPr>
      <t xml:space="preserve">Date of Admission </t>
    </r>
    <r>
      <rPr>
        <b/>
        <sz val="8"/>
        <color rgb="FF0070C0"/>
        <rFont val="Calibri"/>
        <family val="2"/>
      </rPr>
      <t>(will auto populate)                              00/00/0000</t>
    </r>
  </si>
  <si>
    <r>
      <rPr>
        <sz val="8"/>
        <color theme="1"/>
        <rFont val="Calibri"/>
        <family val="2"/>
      </rPr>
      <t>Employment</t>
    </r>
    <r>
      <rPr>
        <sz val="6"/>
        <color theme="1"/>
        <rFont val="Calibri"/>
        <family val="2"/>
      </rPr>
      <t xml:space="preserve">  (use numeral (1) if applicable)</t>
    </r>
  </si>
  <si>
    <r>
      <rPr>
        <sz val="8"/>
        <color theme="1"/>
        <rFont val="Calibri"/>
        <family val="2"/>
      </rPr>
      <t xml:space="preserve">Student </t>
    </r>
    <r>
      <rPr>
        <sz val="6"/>
        <color theme="1"/>
        <rFont val="Calibri"/>
        <family val="2"/>
      </rPr>
      <t>(use numeral (1) if applicable)</t>
    </r>
  </si>
  <si>
    <r>
      <rPr>
        <sz val="8"/>
        <color theme="1"/>
        <rFont val="Calibri"/>
        <family val="2"/>
      </rPr>
      <t xml:space="preserve">Stable Living Situation </t>
    </r>
    <r>
      <rPr>
        <sz val="6"/>
        <color theme="1"/>
        <rFont val="Calibri"/>
        <family val="2"/>
      </rPr>
      <t>(use numeral (1) if applicable)</t>
    </r>
  </si>
  <si>
    <r>
      <rPr>
        <sz val="8"/>
        <color theme="1"/>
        <rFont val="Calibri"/>
        <family val="2"/>
      </rPr>
      <t>LEGAL - Arrest</t>
    </r>
    <r>
      <rPr>
        <sz val="6"/>
        <color theme="1"/>
        <rFont val="Calibri"/>
        <family val="2"/>
      </rPr>
      <t xml:space="preserve"> (use numeral (1) if applicable)</t>
    </r>
  </si>
  <si>
    <r>
      <rPr>
        <sz val="8"/>
        <color theme="1"/>
        <rFont val="Calibri"/>
        <family val="2"/>
      </rPr>
      <t xml:space="preserve">Alcohol Use </t>
    </r>
    <r>
      <rPr>
        <sz val="6"/>
        <color theme="1"/>
        <rFont val="Calibri"/>
        <family val="2"/>
      </rPr>
      <t>(use numeral (1) if applicable)</t>
    </r>
  </si>
  <si>
    <r>
      <rPr>
        <sz val="8"/>
        <color theme="1"/>
        <rFont val="Calibri"/>
        <family val="2"/>
      </rPr>
      <t xml:space="preserve">Illegal drugs used </t>
    </r>
    <r>
      <rPr>
        <sz val="6"/>
        <color theme="1"/>
        <rFont val="Calibri"/>
        <family val="2"/>
      </rPr>
      <t>(use numeral (1) if applicable)</t>
    </r>
  </si>
  <si>
    <r>
      <rPr>
        <sz val="8"/>
        <color theme="1"/>
        <rFont val="Calibri"/>
        <family val="2"/>
      </rPr>
      <t xml:space="preserve">self-help groups (AA, NA, etc.) </t>
    </r>
    <r>
      <rPr>
        <sz val="6"/>
        <color theme="1"/>
        <rFont val="Calibri"/>
        <family val="2"/>
      </rPr>
      <t>(use numeral (1) if applicable)</t>
    </r>
  </si>
  <si>
    <r>
      <rPr>
        <b/>
        <sz val="10"/>
        <color rgb="FF0070C0"/>
        <rFont val="Calibri"/>
        <family val="2"/>
      </rPr>
      <t xml:space="preserve">Date of Admission </t>
    </r>
    <r>
      <rPr>
        <b/>
        <sz val="8"/>
        <color rgb="FF0070C0"/>
        <rFont val="Calibri"/>
        <family val="2"/>
      </rPr>
      <t>(will auto populate)                              00/00/0000</t>
    </r>
  </si>
  <si>
    <r>
      <rPr>
        <sz val="8"/>
        <color theme="1"/>
        <rFont val="Calibri"/>
        <family val="2"/>
      </rPr>
      <t>Employment</t>
    </r>
    <r>
      <rPr>
        <sz val="6"/>
        <color theme="1"/>
        <rFont val="Calibri"/>
        <family val="2"/>
      </rPr>
      <t xml:space="preserve">  (use numeral (1) if applicable)</t>
    </r>
  </si>
  <si>
    <r>
      <rPr>
        <sz val="8"/>
        <color theme="1"/>
        <rFont val="Calibri"/>
        <family val="2"/>
      </rPr>
      <t xml:space="preserve">Student </t>
    </r>
    <r>
      <rPr>
        <sz val="6"/>
        <color theme="1"/>
        <rFont val="Calibri"/>
        <family val="2"/>
      </rPr>
      <t>(use numeral (1) if applicable)</t>
    </r>
  </si>
  <si>
    <r>
      <rPr>
        <sz val="8"/>
        <color theme="1"/>
        <rFont val="Calibri"/>
        <family val="2"/>
      </rPr>
      <t xml:space="preserve">Stable Living Situation </t>
    </r>
    <r>
      <rPr>
        <sz val="6"/>
        <color theme="1"/>
        <rFont val="Calibri"/>
        <family val="2"/>
      </rPr>
      <t>(use numeral (1) if applicable)</t>
    </r>
  </si>
  <si>
    <r>
      <rPr>
        <sz val="8"/>
        <color theme="1"/>
        <rFont val="Calibri"/>
        <family val="2"/>
      </rPr>
      <t>LEGAL - Arrest</t>
    </r>
    <r>
      <rPr>
        <sz val="6"/>
        <color theme="1"/>
        <rFont val="Calibri"/>
        <family val="2"/>
      </rPr>
      <t xml:space="preserve"> (use numeral (1) if applicable)</t>
    </r>
  </si>
  <si>
    <r>
      <rPr>
        <sz val="8"/>
        <color theme="1"/>
        <rFont val="Calibri"/>
        <family val="2"/>
      </rPr>
      <t xml:space="preserve">Alcohol Use </t>
    </r>
    <r>
      <rPr>
        <sz val="6"/>
        <color theme="1"/>
        <rFont val="Calibri"/>
        <family val="2"/>
      </rPr>
      <t>(use numeral (1) if applicable)</t>
    </r>
  </si>
  <si>
    <r>
      <rPr>
        <sz val="8"/>
        <color theme="1"/>
        <rFont val="Calibri"/>
        <family val="2"/>
      </rPr>
      <t xml:space="preserve">Illegal drugs used </t>
    </r>
    <r>
      <rPr>
        <sz val="6"/>
        <color theme="1"/>
        <rFont val="Calibri"/>
        <family val="2"/>
      </rPr>
      <t>(use numeral (1) if applicable)</t>
    </r>
  </si>
  <si>
    <r>
      <rPr>
        <sz val="8"/>
        <color theme="1"/>
        <rFont val="Calibri"/>
        <family val="2"/>
      </rPr>
      <t xml:space="preserve">self-help groups (AA, NA, etc.) </t>
    </r>
    <r>
      <rPr>
        <sz val="6"/>
        <color theme="1"/>
        <rFont val="Calibri"/>
        <family val="2"/>
      </rPr>
      <t>(use numeral (1) if applicable)</t>
    </r>
  </si>
  <si>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</si>
  <si>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</si>
  <si>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</si>
  <si>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</si>
  <si>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</si>
  <si>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5b)National Outcome Measures (NOMS)</t>
  </si>
  <si>
    <t>CLIENT INFORMATION</t>
  </si>
  <si>
    <t>30 DAYS BEFORE ADMISSION  (Use numeral (1) if applicable)</t>
  </si>
  <si>
    <t>POST 30 DAYS AFTER DISCHARGE   (Use numeral (1) if applicable)</t>
  </si>
  <si>
    <r>
      <rPr>
        <b/>
        <sz val="10"/>
        <color rgb="FF0070C0"/>
        <rFont val="Calibri"/>
        <family val="2"/>
      </rPr>
      <t xml:space="preserve">Date of Admission </t>
    </r>
    <r>
      <rPr>
        <b/>
        <sz val="8"/>
        <color rgb="FF0070C0"/>
        <rFont val="Calibri"/>
        <family val="2"/>
      </rPr>
      <t>(will auto populate)                              00/00/0000</t>
    </r>
  </si>
  <si>
    <r>
      <rPr>
        <sz val="8"/>
        <color theme="1"/>
        <rFont val="Calibri"/>
        <family val="2"/>
      </rPr>
      <t>Employment</t>
    </r>
    <r>
      <rPr>
        <sz val="6"/>
        <color theme="1"/>
        <rFont val="Calibri"/>
        <family val="2"/>
      </rPr>
      <t xml:space="preserve">  (use numeral (1) if applicable)</t>
    </r>
  </si>
  <si>
    <r>
      <rPr>
        <sz val="8"/>
        <color theme="1"/>
        <rFont val="Calibri"/>
        <family val="2"/>
      </rPr>
      <t xml:space="preserve">Student </t>
    </r>
    <r>
      <rPr>
        <sz val="6"/>
        <color theme="1"/>
        <rFont val="Calibri"/>
        <family val="2"/>
      </rPr>
      <t>(use numeral (1) if applicable)</t>
    </r>
  </si>
  <si>
    <r>
      <rPr>
        <sz val="8"/>
        <color theme="1"/>
        <rFont val="Calibri"/>
        <family val="2"/>
      </rPr>
      <t xml:space="preserve">Stable Living Situation </t>
    </r>
    <r>
      <rPr>
        <sz val="6"/>
        <color theme="1"/>
        <rFont val="Calibri"/>
        <family val="2"/>
      </rPr>
      <t>(use numeral (1) if applicable)</t>
    </r>
  </si>
  <si>
    <r>
      <rPr>
        <sz val="8"/>
        <color theme="1"/>
        <rFont val="Calibri"/>
        <family val="2"/>
      </rPr>
      <t>LEGAL - Arrest</t>
    </r>
    <r>
      <rPr>
        <sz val="6"/>
        <color theme="1"/>
        <rFont val="Calibri"/>
        <family val="2"/>
      </rPr>
      <t xml:space="preserve"> (use numeral (1) if applicable)</t>
    </r>
  </si>
  <si>
    <r>
      <rPr>
        <sz val="8"/>
        <color theme="1"/>
        <rFont val="Calibri"/>
        <family val="2"/>
      </rPr>
      <t xml:space="preserve">Alcohol Use </t>
    </r>
    <r>
      <rPr>
        <sz val="6"/>
        <color theme="1"/>
        <rFont val="Calibri"/>
        <family val="2"/>
      </rPr>
      <t>(use numeral (1) if applicable)</t>
    </r>
  </si>
  <si>
    <r>
      <rPr>
        <sz val="8"/>
        <color theme="1"/>
        <rFont val="Calibri"/>
        <family val="2"/>
      </rPr>
      <t xml:space="preserve">Illegal drugs used </t>
    </r>
    <r>
      <rPr>
        <sz val="6"/>
        <color theme="1"/>
        <rFont val="Calibri"/>
        <family val="2"/>
      </rPr>
      <t>(use numeral (1) if applicable)</t>
    </r>
  </si>
  <si>
    <r>
      <rPr>
        <sz val="8"/>
        <color theme="1"/>
        <rFont val="Calibri"/>
        <family val="2"/>
      </rPr>
      <t xml:space="preserve">self-help groups (AA, NA, etc.) </t>
    </r>
    <r>
      <rPr>
        <sz val="6"/>
        <color theme="1"/>
        <rFont val="Calibri"/>
        <family val="2"/>
      </rPr>
      <t>(use numeral (1) if applicable)</t>
    </r>
  </si>
  <si>
    <r>
      <rPr>
        <b/>
        <sz val="10"/>
        <color rgb="FF0070C0"/>
        <rFont val="Calibri"/>
        <family val="2"/>
      </rPr>
      <t xml:space="preserve">Date of Admission </t>
    </r>
    <r>
      <rPr>
        <b/>
        <sz val="8"/>
        <color rgb="FF0070C0"/>
        <rFont val="Calibri"/>
        <family val="2"/>
      </rPr>
      <t>(will auto populate)                              00/00/0000</t>
    </r>
  </si>
  <si>
    <r>
      <rPr>
        <sz val="8"/>
        <color theme="1"/>
        <rFont val="Calibri"/>
        <family val="2"/>
      </rPr>
      <t>Employment</t>
    </r>
    <r>
      <rPr>
        <sz val="6"/>
        <color theme="1"/>
        <rFont val="Calibri"/>
        <family val="2"/>
      </rPr>
      <t xml:space="preserve">  (use numeral (1) if applicable)</t>
    </r>
  </si>
  <si>
    <r>
      <rPr>
        <sz val="8"/>
        <color theme="1"/>
        <rFont val="Calibri"/>
        <family val="2"/>
      </rPr>
      <t xml:space="preserve">Student </t>
    </r>
    <r>
      <rPr>
        <sz val="6"/>
        <color theme="1"/>
        <rFont val="Calibri"/>
        <family val="2"/>
      </rPr>
      <t>(use numeral (1) if applicable)</t>
    </r>
  </si>
  <si>
    <r>
      <rPr>
        <sz val="8"/>
        <color theme="1"/>
        <rFont val="Calibri"/>
        <family val="2"/>
      </rPr>
      <t xml:space="preserve">Stable Living Situation </t>
    </r>
    <r>
      <rPr>
        <sz val="6"/>
        <color theme="1"/>
        <rFont val="Calibri"/>
        <family val="2"/>
      </rPr>
      <t>(use numeral (1) if applicable)</t>
    </r>
  </si>
  <si>
    <r>
      <rPr>
        <sz val="8"/>
        <color theme="1"/>
        <rFont val="Calibri"/>
        <family val="2"/>
      </rPr>
      <t>LEGAL - Arrest</t>
    </r>
    <r>
      <rPr>
        <sz val="6"/>
        <color theme="1"/>
        <rFont val="Calibri"/>
        <family val="2"/>
      </rPr>
      <t xml:space="preserve"> (use numeral (1) if applicable)</t>
    </r>
  </si>
  <si>
    <r>
      <rPr>
        <sz val="8"/>
        <color theme="1"/>
        <rFont val="Calibri"/>
        <family val="2"/>
      </rPr>
      <t xml:space="preserve">Alcohol Use </t>
    </r>
    <r>
      <rPr>
        <sz val="6"/>
        <color theme="1"/>
        <rFont val="Calibri"/>
        <family val="2"/>
      </rPr>
      <t>(use numeral (1) if applicable)</t>
    </r>
  </si>
  <si>
    <r>
      <rPr>
        <sz val="8"/>
        <color theme="1"/>
        <rFont val="Calibri"/>
        <family val="2"/>
      </rPr>
      <t xml:space="preserve">Illegal drugs used </t>
    </r>
    <r>
      <rPr>
        <sz val="6"/>
        <color theme="1"/>
        <rFont val="Calibri"/>
        <family val="2"/>
      </rPr>
      <t>(use numeral (1) if applicable)</t>
    </r>
  </si>
  <si>
    <r>
      <rPr>
        <sz val="8"/>
        <color theme="1"/>
        <rFont val="Calibri"/>
        <family val="2"/>
      </rPr>
      <t xml:space="preserve">self-help groups (AA, NA, etc.) </t>
    </r>
    <r>
      <rPr>
        <sz val="6"/>
        <color theme="1"/>
        <rFont val="Calibri"/>
        <family val="2"/>
      </rPr>
      <t>(use numeral (1) if applicable)</t>
    </r>
  </si>
  <si>
    <t>00/00/0000</t>
  </si>
  <si>
    <t>GPRA Completed AT 6 MONTHS</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</si>
  <si>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</si>
  <si>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</si>
  <si>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</si>
  <si>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</si>
  <si>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</si>
  <si>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DUE DATE:  30 days after MOUD Service Onset </t>
  </si>
  <si>
    <t xml:space="preserve">Date of Contact: 30 days after MOUD Service Onset </t>
  </si>
  <si>
    <t>Type of Contact , If other Specify in Column I</t>
  </si>
  <si>
    <t>Notes for Column H</t>
  </si>
  <si>
    <t xml:space="preserve">Receiving MOUD Services 30 days after MOUD Service Onset </t>
  </si>
  <si>
    <t xml:space="preserve">DUE DATE: 60 days after MOUD Service Onset </t>
  </si>
  <si>
    <t xml:space="preserve">Date of Contact: 60 days after MOUD Service Onset </t>
  </si>
  <si>
    <t>Type of Contact, if other Specify in Column N</t>
  </si>
  <si>
    <t>Notes for Column M</t>
  </si>
  <si>
    <t xml:space="preserve">Receiving MOUD Services 60 days after MOUD Service Onset </t>
  </si>
  <si>
    <t xml:space="preserve">DUE DATE: 90 days after MOUD Service Onset </t>
  </si>
  <si>
    <t xml:space="preserve">Date of Contact: 90 days after MOUD Service Onset </t>
  </si>
  <si>
    <t>Type of Contact , If other Specify in Column S</t>
  </si>
  <si>
    <t>Notes for Column R</t>
  </si>
  <si>
    <t xml:space="preserve">Receiving MOUD Services 90 days after MOUD Service Onset </t>
  </si>
  <si>
    <t xml:space="preserve">DUE DATE: 6 Months after MOUD Service Onset </t>
  </si>
  <si>
    <t xml:space="preserve">Date of Contact: 6 Months after MOUD Service Onset </t>
  </si>
  <si>
    <t>Type of Contact , If other Specify in Column X</t>
  </si>
  <si>
    <t>Notes for Column W</t>
  </si>
  <si>
    <t xml:space="preserve">Receiving MOUD Services 6 Months after MOUD Service Onset </t>
  </si>
  <si>
    <t xml:space="preserve">DUE DATE: 1 year after MOUD Service Onset </t>
  </si>
  <si>
    <t xml:space="preserve">Date of Contact: 1 year after MOUD Service Onset </t>
  </si>
  <si>
    <t>Type of Contact , If other Specify in Column AC</t>
  </si>
  <si>
    <t>Notes for Column AB</t>
  </si>
  <si>
    <t xml:space="preserve">Receiving MOUD Services 1 year after MOUD Service Onset </t>
  </si>
  <si>
    <t xml:space="preserve">5a) GRANTEE - PROGRAM INFORMOUDION: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</si>
  <si>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</si>
  <si>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</si>
  <si>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</si>
  <si>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</si>
  <si>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</si>
  <si>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5b) FOLLOW-UP OUD Meth </t>
  </si>
  <si>
    <t xml:space="preserve">Type of Contact , If other Specify in Column S </t>
  </si>
  <si>
    <t>Telehealth Services</t>
  </si>
  <si>
    <t>Peer Recovery Support</t>
  </si>
  <si>
    <t xml:space="preserve">Other (Specify in Note Section) </t>
  </si>
  <si>
    <t>Date of Training</t>
  </si>
  <si>
    <t>Name of Evidence Based Training</t>
  </si>
  <si>
    <t xml:space="preserve">Was training regarding Naxolone? </t>
  </si>
  <si>
    <t xml:space="preserve">Purpose of Training </t>
  </si>
  <si>
    <t>Entity  Providing Training</t>
  </si>
  <si>
    <t xml:space="preserve">Location of Training (City - County) </t>
  </si>
  <si>
    <t>Person(s) Providing Training</t>
  </si>
  <si>
    <t>Credentials of Person(s) Providing Training</t>
  </si>
  <si>
    <t xml:space="preserve">Was training done to fulfil the SOR SOW (YES/NO) </t>
  </si>
  <si>
    <t>Peer Recovery Support Positions</t>
  </si>
  <si>
    <t>Physicians</t>
  </si>
  <si>
    <t>Physician Assistants</t>
  </si>
  <si>
    <t>Nurse Practitioners</t>
  </si>
  <si>
    <t>Nurse (RN, LPN)</t>
  </si>
  <si>
    <t>Social Workers</t>
  </si>
  <si>
    <t>Addiction Counselors</t>
  </si>
  <si>
    <t>Prevention</t>
  </si>
  <si>
    <t xml:space="preserve">Other (Describe inColumn T Note Section) </t>
  </si>
  <si>
    <t xml:space="preserve">Other (Describe in Column AD Note Section) </t>
  </si>
  <si>
    <t xml:space="preserve">6a)  Grantee - Program Information  (Any changes will need to be made on 1BASE GRANTEE INFO &amp; UPDATES Tab) </t>
  </si>
  <si>
    <r>
      <rPr>
        <sz val="11"/>
        <color theme="1"/>
        <rFont val="Calibri"/>
        <family val="2"/>
      </rPr>
      <t xml:space="preserve">Program Name:  </t>
    </r>
    <r>
      <rPr>
        <sz val="8"/>
        <color theme="1"/>
        <rFont val="Calibri"/>
        <family val="2"/>
      </rPr>
      <t xml:space="preserve">(same as on Statement of Work): </t>
    </r>
  </si>
  <si>
    <r>
      <rPr>
        <sz val="11"/>
        <color theme="1"/>
        <rFont val="Calibri"/>
        <family val="2"/>
      </rPr>
      <t xml:space="preserve">Name of Program </t>
    </r>
    <r>
      <rPr>
        <sz val="8"/>
        <color theme="1"/>
        <rFont val="Calibri"/>
        <family val="2"/>
      </rPr>
      <t>(given by Grantee):;</t>
    </r>
  </si>
  <si>
    <t>Contact Name (s)</t>
  </si>
  <si>
    <t xml:space="preserve">Physical Address of Program: </t>
  </si>
  <si>
    <t xml:space="preserve">Contact Phone(s): </t>
  </si>
  <si>
    <t>Grant Number:</t>
  </si>
  <si>
    <r>
      <rPr>
        <b/>
        <sz val="11"/>
        <color rgb="FFFF0000"/>
        <rFont val="Calibri"/>
        <family val="2"/>
      </rPr>
      <t xml:space="preserve">Month Being Reported </t>
    </r>
    <r>
      <rPr>
        <sz val="8"/>
        <color rgb="FFFF0000"/>
        <rFont val="Calibri"/>
        <family val="2"/>
      </rPr>
      <t>(Month/Year)</t>
    </r>
    <r>
      <rPr>
        <sz val="11"/>
        <color rgb="FFFF0000"/>
        <rFont val="Calibri"/>
        <family val="2"/>
      </rPr>
      <t>:</t>
    </r>
  </si>
  <si>
    <r>
      <rPr>
        <sz val="11"/>
        <color theme="1"/>
        <rFont val="Calibri"/>
        <family val="2"/>
      </rPr>
      <t xml:space="preserve">Program Code: </t>
    </r>
    <r>
      <rPr>
        <sz val="8"/>
        <color theme="1"/>
        <rFont val="Calibri"/>
        <family val="2"/>
      </rPr>
      <t xml:space="preserve">(located on TFB or SOW) </t>
    </r>
  </si>
  <si>
    <t>6b) Evidence Based Training</t>
  </si>
  <si>
    <t>Evidence Based Training</t>
  </si>
  <si>
    <r>
      <rPr>
        <sz val="10"/>
        <color theme="1"/>
        <rFont val="Calibri"/>
        <family val="2"/>
      </rPr>
      <t>NUMBER OF</t>
    </r>
    <r>
      <rPr>
        <b/>
        <sz val="10"/>
        <color theme="1"/>
        <rFont val="Calibri"/>
        <family val="2"/>
      </rPr>
      <t xml:space="preserve"> </t>
    </r>
    <r>
      <rPr>
        <b/>
        <sz val="10"/>
        <color rgb="FFFF0000"/>
        <rFont val="Calibri"/>
        <family val="2"/>
      </rPr>
      <t>INTERNAL STAFF</t>
    </r>
    <r>
      <rPr>
        <b/>
        <sz val="10"/>
        <color theme="1"/>
        <rFont val="Calibri"/>
        <family val="2"/>
      </rPr>
      <t xml:space="preserve"> </t>
    </r>
    <r>
      <rPr>
        <b/>
        <sz val="10"/>
        <color rgb="FFFF0000"/>
        <rFont val="Calibri"/>
        <family val="2"/>
      </rPr>
      <t>(FUNDED BY SOR GRANT</t>
    </r>
    <r>
      <rPr>
        <sz val="10"/>
        <color rgb="FFFF0000"/>
        <rFont val="Calibri"/>
        <family val="2"/>
      </rPr>
      <t>)</t>
    </r>
    <r>
      <rPr>
        <sz val="10"/>
        <color theme="1"/>
        <rFont val="Calibri"/>
        <family val="2"/>
      </rPr>
      <t xml:space="preserve"> PARTICIPATING BY DISCIPLINE </t>
    </r>
  </si>
  <si>
    <r>
      <rPr>
        <sz val="10"/>
        <color theme="1"/>
        <rFont val="Calibri"/>
        <family val="2"/>
      </rPr>
      <t xml:space="preserve">NUMBER OF </t>
    </r>
    <r>
      <rPr>
        <b/>
        <sz val="10"/>
        <color theme="1"/>
        <rFont val="Calibri"/>
        <family val="2"/>
      </rPr>
      <t>INTERNAL/EXTERNAL</t>
    </r>
    <r>
      <rPr>
        <sz val="10"/>
        <color theme="1"/>
        <rFont val="Calibri"/>
        <family val="2"/>
      </rPr>
      <t xml:space="preserve"> INDIVIDUALS </t>
    </r>
    <r>
      <rPr>
        <sz val="10"/>
        <color rgb="FFFF0000"/>
        <rFont val="Calibri"/>
        <family val="2"/>
      </rPr>
      <t>(</t>
    </r>
    <r>
      <rPr>
        <b/>
        <u/>
        <sz val="10"/>
        <color rgb="FFFF0000"/>
        <rFont val="Calibri"/>
        <family val="2"/>
      </rPr>
      <t>NOT FUNDED</t>
    </r>
    <r>
      <rPr>
        <u/>
        <sz val="10"/>
        <color rgb="FFFF0000"/>
        <rFont val="Calibri"/>
        <family val="2"/>
      </rPr>
      <t xml:space="preserve"> BY  GRANT</t>
    </r>
    <r>
      <rPr>
        <sz val="10"/>
        <color rgb="FFFF0000"/>
        <rFont val="Calibri"/>
        <family val="2"/>
      </rPr>
      <t xml:space="preserve">) </t>
    </r>
    <r>
      <rPr>
        <sz val="10"/>
        <color theme="1"/>
        <rFont val="Calibri"/>
        <family val="2"/>
      </rPr>
      <t xml:space="preserve">PARTICIPATING  BY DISCIPLINE </t>
    </r>
  </si>
  <si>
    <t xml:space="preserve">Other (Describe in notes) </t>
  </si>
  <si>
    <t>xx</t>
  </si>
  <si>
    <t xml:space="preserve">Type of Training </t>
  </si>
  <si>
    <t xml:space="preserve">Note Section for Column C </t>
  </si>
  <si>
    <t>Was Training Funded wholly or in part by Grant funds? (YES/NO)</t>
  </si>
  <si>
    <t xml:space="preserve">if more than 10 staff will need to add more columns </t>
  </si>
  <si>
    <r>
      <rPr>
        <sz val="11"/>
        <color theme="1"/>
        <rFont val="Calibri"/>
        <family val="2"/>
      </rPr>
      <t xml:space="preserve">Program Name:  </t>
    </r>
    <r>
      <rPr>
        <sz val="8"/>
        <color theme="1"/>
        <rFont val="Calibri"/>
        <family val="2"/>
      </rPr>
      <t xml:space="preserve">(same as on Statement of Work): </t>
    </r>
  </si>
  <si>
    <r>
      <rPr>
        <sz val="11"/>
        <color theme="1"/>
        <rFont val="Calibri"/>
        <family val="2"/>
      </rPr>
      <t xml:space="preserve">Name of Program </t>
    </r>
    <r>
      <rPr>
        <sz val="8"/>
        <color theme="1"/>
        <rFont val="Calibri"/>
        <family val="2"/>
      </rPr>
      <t>(given by Grantee):;</t>
    </r>
  </si>
  <si>
    <r>
      <rPr>
        <b/>
        <sz val="11"/>
        <color rgb="FFFF0000"/>
        <rFont val="Calibri"/>
        <family val="2"/>
      </rPr>
      <t xml:space="preserve">Month Being Reported </t>
    </r>
    <r>
      <rPr>
        <sz val="8"/>
        <color rgb="FFFF0000"/>
        <rFont val="Calibri"/>
        <family val="2"/>
      </rPr>
      <t>(Month/Year)</t>
    </r>
    <r>
      <rPr>
        <sz val="11"/>
        <color rgb="FFFF0000"/>
        <rFont val="Calibri"/>
        <family val="2"/>
      </rPr>
      <t>:</t>
    </r>
  </si>
  <si>
    <r>
      <rPr>
        <sz val="11"/>
        <color theme="1"/>
        <rFont val="Calibri"/>
        <family val="2"/>
      </rPr>
      <t xml:space="preserve">Program Code: </t>
    </r>
    <r>
      <rPr>
        <sz val="8"/>
        <color theme="1"/>
        <rFont val="Calibri"/>
        <family val="2"/>
      </rPr>
      <t xml:space="preserve">(located on TFB or SOW) </t>
    </r>
  </si>
  <si>
    <t>Training</t>
  </si>
  <si>
    <r>
      <rPr>
        <sz val="10"/>
        <color rgb="FF7F6000"/>
        <rFont val="Calibri"/>
        <family val="2"/>
      </rPr>
      <t>NUMBER OF</t>
    </r>
    <r>
      <rPr>
        <b/>
        <sz val="10"/>
        <color rgb="FF7F6000"/>
        <rFont val="Calibri"/>
        <family val="2"/>
      </rPr>
      <t xml:space="preserve"> INTERNAL STAFF</t>
    </r>
    <r>
      <rPr>
        <b/>
        <sz val="10"/>
        <color rgb="FFFF0000"/>
        <rFont val="Calibri"/>
        <family val="2"/>
      </rPr>
      <t xml:space="preserve"> (FUNDED BY SOR GRANT</t>
    </r>
    <r>
      <rPr>
        <sz val="10"/>
        <color rgb="FFFF0000"/>
        <rFont val="Calibri"/>
        <family val="2"/>
      </rPr>
      <t>)</t>
    </r>
    <r>
      <rPr>
        <sz val="10"/>
        <color rgb="FF7F6000"/>
        <rFont val="Calibri"/>
        <family val="2"/>
      </rPr>
      <t xml:space="preserve"> PARTICIPATING - </t>
    </r>
    <r>
      <rPr>
        <sz val="10"/>
        <color rgb="FF7F6000"/>
        <rFont val="Calibri"/>
        <family val="2"/>
      </rPr>
      <t xml:space="preserve">IF MORE THAN 10 STAFF WILL NEED TO ADD MORE COLUMNS </t>
    </r>
  </si>
  <si>
    <r>
      <rPr>
        <sz val="10"/>
        <color theme="1"/>
        <rFont val="Calibri"/>
        <family val="2"/>
      </rPr>
      <t xml:space="preserve">NUMBER OF </t>
    </r>
    <r>
      <rPr>
        <b/>
        <sz val="10"/>
        <color theme="1"/>
        <rFont val="Calibri"/>
        <family val="2"/>
      </rPr>
      <t>INTERNAL/EXTERNAL</t>
    </r>
    <r>
      <rPr>
        <sz val="10"/>
        <color theme="1"/>
        <rFont val="Calibri"/>
        <family val="2"/>
      </rPr>
      <t xml:space="preserve"> INDIVIDUALS </t>
    </r>
    <r>
      <rPr>
        <sz val="10"/>
        <color rgb="FFFF0000"/>
        <rFont val="Calibri"/>
        <family val="2"/>
      </rPr>
      <t>(</t>
    </r>
    <r>
      <rPr>
        <b/>
        <u/>
        <sz val="10"/>
        <color rgb="FFFF0000"/>
        <rFont val="Calibri"/>
        <family val="2"/>
      </rPr>
      <t>NOT FUNDED</t>
    </r>
    <r>
      <rPr>
        <u/>
        <sz val="10"/>
        <color rgb="FFFF0000"/>
        <rFont val="Calibri"/>
        <family val="2"/>
      </rPr>
      <t xml:space="preserve"> BY  GRANT</t>
    </r>
    <r>
      <rPr>
        <sz val="10"/>
        <color rgb="FFFF0000"/>
        <rFont val="Calibri"/>
        <family val="2"/>
      </rPr>
      <t xml:space="preserve">) </t>
    </r>
    <r>
      <rPr>
        <sz val="10"/>
        <color theme="1"/>
        <rFont val="Calibri"/>
        <family val="2"/>
      </rPr>
      <t xml:space="preserve">PARTICIPATING  BY DISCIPLINE </t>
    </r>
  </si>
  <si>
    <t>Mandatory</t>
  </si>
  <si>
    <t>Evidence Based Training (EBT)</t>
  </si>
  <si>
    <t>Both Mandatory and EBT</t>
  </si>
  <si>
    <t>Other (Specify in Notes)</t>
  </si>
  <si>
    <t>Type of Activity, Meeting, Event</t>
  </si>
  <si>
    <t>Name of Activity, Meeting or Event</t>
  </si>
  <si>
    <t>Purpose of Activity, Meeting or Event</t>
  </si>
  <si>
    <t># Attending / Participating</t>
  </si>
  <si>
    <t>Cross Planning (Inter-agency meetings, Community Collaboratives, Regional Summits, Local Task Forces) initiatives, service activities (resource fairs, community presentations) implemented with other sectors indicating type and number.</t>
  </si>
  <si>
    <t>Regional Summits</t>
  </si>
  <si>
    <t>Community Collaboratives</t>
  </si>
  <si>
    <t>Community Presentations</t>
  </si>
  <si>
    <t>Inter-agency meetings</t>
  </si>
  <si>
    <t xml:space="preserve">Other (list in Note Section) </t>
  </si>
  <si>
    <t>Meeting</t>
  </si>
  <si>
    <t xml:space="preserve">NALOXONE DISTRIBUTION                                                                               (Does not necessarily have to tie to training)  </t>
  </si>
  <si>
    <t xml:space="preserve">OVERDOSE REVERSALS                                                                                                                                                                       (Does not necessarily have to tie to training)  </t>
  </si>
  <si>
    <t xml:space="preserve">7a)  Grantee - Program Information  (Any changes will need to be made on 1BASE GRANTEE INFO &amp; UPDATES Tab) </t>
  </si>
  <si>
    <r>
      <rPr>
        <sz val="11"/>
        <color theme="1"/>
        <rFont val="Calibri"/>
        <family val="2"/>
      </rPr>
      <t xml:space="preserve">Program Name:  </t>
    </r>
    <r>
      <rPr>
        <sz val="8"/>
        <color theme="1"/>
        <rFont val="Calibri"/>
        <family val="2"/>
      </rPr>
      <t xml:space="preserve">(same as on Statement of Work): </t>
    </r>
  </si>
  <si>
    <r>
      <rPr>
        <sz val="11"/>
        <color theme="1"/>
        <rFont val="Calibri"/>
        <family val="2"/>
      </rPr>
      <t xml:space="preserve">Name of Program </t>
    </r>
    <r>
      <rPr>
        <sz val="8"/>
        <color theme="1"/>
        <rFont val="Calibri"/>
        <family val="2"/>
      </rPr>
      <t>(given by Grantee):;</t>
    </r>
  </si>
  <si>
    <r>
      <rPr>
        <b/>
        <sz val="11"/>
        <color theme="1"/>
        <rFont val="Calibri"/>
        <family val="2"/>
      </rPr>
      <t xml:space="preserve">Month Being Reported </t>
    </r>
    <r>
      <rPr>
        <sz val="8"/>
        <color theme="1"/>
        <rFont val="Calibri"/>
        <family val="2"/>
      </rPr>
      <t>(Month/Year)</t>
    </r>
    <r>
      <rPr>
        <sz val="11"/>
        <color theme="1"/>
        <rFont val="Calibri"/>
        <family val="2"/>
      </rPr>
      <t>:</t>
    </r>
  </si>
  <si>
    <t>7b) Naloxone Kits Distributed</t>
  </si>
  <si>
    <t>Date of Naloxone Distribution</t>
  </si>
  <si>
    <t xml:space="preserve">Total # of Naloxone overdose reversal kits distributed </t>
  </si>
  <si>
    <t>Location(s) Naloxone Kits Distributed  (include city, county)</t>
  </si>
  <si>
    <t>Naloxone Kits funded wholly or in part by SOR</t>
  </si>
  <si>
    <t>Date Aware of Overdose Reversals</t>
  </si>
  <si>
    <t xml:space="preserve">Number of Overdose Reversals                    </t>
  </si>
  <si>
    <t xml:space="preserve">8a) GRANTEE - PROGRAM INFORMATION:  (Any changes will need to be made on 1BASE 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</si>
  <si>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</si>
  <si>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</si>
  <si>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</si>
  <si>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</si>
  <si>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</si>
  <si>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8b) SUMMARY</t>
  </si>
  <si>
    <t xml:space="preserve">1BASE GRANTEE INFO &amp; UPDATES </t>
  </si>
  <si>
    <t xml:space="preserve">Number of Staff Funded by the Grant </t>
  </si>
  <si>
    <t>STAFF</t>
  </si>
  <si>
    <t>Employed</t>
  </si>
  <si>
    <t xml:space="preserve">Left Employment </t>
  </si>
  <si>
    <t>NON - PREGNANT CLIENTS                                                 NON - PREGNANT CLIENTS                                                                            NON - PREGNANT CLIENTS                                                       NON - PREGNANT CLIENTS</t>
  </si>
  <si>
    <t>RACE</t>
  </si>
  <si>
    <t xml:space="preserve">ETHNICITY </t>
  </si>
  <si>
    <t xml:space="preserve">AGE - NON PREGNANT CLIENTS </t>
  </si>
  <si>
    <t>White</t>
  </si>
  <si>
    <t>African American / Black</t>
  </si>
  <si>
    <t>Native Hawaiian / Other Pacific Islander</t>
  </si>
  <si>
    <t>Asian</t>
  </si>
  <si>
    <t xml:space="preserve">American Indian / Alaska Native </t>
  </si>
  <si>
    <t xml:space="preserve">More than One Race Reported </t>
  </si>
  <si>
    <t xml:space="preserve">Unknown </t>
  </si>
  <si>
    <t xml:space="preserve">TOTAL </t>
  </si>
  <si>
    <t>Not Hispanic or Latino</t>
  </si>
  <si>
    <t>Hispanic or Latino</t>
  </si>
  <si>
    <t>AGE -</t>
  </si>
  <si>
    <t>Male</t>
  </si>
  <si>
    <t>Female</t>
  </si>
  <si>
    <t>TG</t>
  </si>
  <si>
    <t>0-12</t>
  </si>
  <si>
    <t>13-17</t>
  </si>
  <si>
    <t>18-20</t>
  </si>
  <si>
    <t>21-24</t>
  </si>
  <si>
    <t>25-34</t>
  </si>
  <si>
    <t>35-44</t>
  </si>
  <si>
    <t>45-54</t>
  </si>
  <si>
    <t>55-64</t>
  </si>
  <si>
    <t>65 -74</t>
  </si>
  <si>
    <t xml:space="preserve">75 and older </t>
  </si>
  <si>
    <t>75 &gt;</t>
  </si>
  <si>
    <t>TOTAL</t>
  </si>
  <si>
    <t>Total</t>
  </si>
  <si>
    <t xml:space="preserve">TOTAL - NON PREGNANT CLIENTS </t>
  </si>
  <si>
    <t>PREGNANT CLIENTS                                                                                        PREGNANT CLIENTS                                                                     PREGNANT CLIENTS                                                                      PREGNANT CLIENTS</t>
  </si>
  <si>
    <t xml:space="preserve">AGE - PREGNANT CLIENTS </t>
  </si>
  <si>
    <t xml:space="preserve">Black or African American </t>
  </si>
  <si>
    <t xml:space="preserve">TOTAL - PREGNANT CLIENTS </t>
  </si>
  <si>
    <t xml:space="preserve">TOTAL NON PREGNANT AND PREGNANT CLIENTS </t>
  </si>
  <si>
    <t>Demographics - Miscellaneous</t>
  </si>
  <si>
    <t>If female, are they parenting (own children)</t>
  </si>
  <si>
    <t>Involved in Criminal Justice System at time of Admission</t>
  </si>
  <si>
    <t>Occupational Student Status</t>
  </si>
  <si>
    <t>Occupational  or Student Status at time of referral - Healthcare Industry</t>
  </si>
  <si>
    <t>Occupational  or Student Status at time of referral - Business Management - Sales</t>
  </si>
  <si>
    <t>Occupational  or Student Status at time of referral - Arts and Entertainment</t>
  </si>
  <si>
    <t xml:space="preserve">Occupational  or Student Status at time of referral -Mining Industry </t>
  </si>
  <si>
    <t>Occupational  or Student Status at time of referral - Hospitality and Food Service</t>
  </si>
  <si>
    <t>Occupational  or Student Status at time of referral - Unemployed</t>
  </si>
  <si>
    <t xml:space="preserve">Occupational  or Student Status at time of referral - Student </t>
  </si>
  <si>
    <t xml:space="preserve">Occupational  or Student Status at time of referral - Other (specify in Notes) </t>
  </si>
  <si>
    <t xml:space="preserve">3Medication Assisted TX </t>
  </si>
  <si>
    <t xml:space="preserve">4Other Services </t>
  </si>
  <si>
    <t xml:space="preserve">7Evidence Based Training </t>
  </si>
  <si>
    <t xml:space="preserve">8Naloxone Distribution </t>
  </si>
  <si>
    <t xml:space="preserve">Pick List </t>
  </si>
  <si>
    <t>MONTH</t>
  </si>
  <si>
    <t>YEAR</t>
  </si>
  <si>
    <t>ETHNICITY</t>
  </si>
  <si>
    <t>COUNTY</t>
  </si>
  <si>
    <t>REGION</t>
  </si>
  <si>
    <t>Region 1</t>
  </si>
  <si>
    <t>Region 4</t>
  </si>
  <si>
    <t>Region 6</t>
  </si>
  <si>
    <t>African American /Black</t>
  </si>
  <si>
    <t>Barbour</t>
  </si>
  <si>
    <t>Brooke</t>
  </si>
  <si>
    <t>Fayette</t>
  </si>
  <si>
    <t>American Indian / Alaska Native</t>
  </si>
  <si>
    <t xml:space="preserve">Hispanic-Latino </t>
  </si>
  <si>
    <t>Berkeley</t>
  </si>
  <si>
    <t>Hancock</t>
  </si>
  <si>
    <t>Braxton</t>
  </si>
  <si>
    <t>Greenbrier</t>
  </si>
  <si>
    <t>September 1 - 30</t>
  </si>
  <si>
    <t>Unknown</t>
  </si>
  <si>
    <t>Transgender</t>
  </si>
  <si>
    <t>Boone</t>
  </si>
  <si>
    <t>Marshall</t>
  </si>
  <si>
    <t>Doddridge</t>
  </si>
  <si>
    <t>McDowell</t>
  </si>
  <si>
    <t>Ohio</t>
  </si>
  <si>
    <t>Gilmer</t>
  </si>
  <si>
    <t>Mercer</t>
  </si>
  <si>
    <t>November 1 - 30</t>
  </si>
  <si>
    <t>More than one race reported</t>
  </si>
  <si>
    <t>Wetzel</t>
  </si>
  <si>
    <t>Harrison</t>
  </si>
  <si>
    <t>Monroe</t>
  </si>
  <si>
    <t>December 1 - 31</t>
  </si>
  <si>
    <t>Cabell</t>
  </si>
  <si>
    <t>Lewis</t>
  </si>
  <si>
    <t>Nicholas</t>
  </si>
  <si>
    <t>January 1 - 31</t>
  </si>
  <si>
    <t>Calhoun</t>
  </si>
  <si>
    <t>Marion</t>
  </si>
  <si>
    <t>Pocahontas</t>
  </si>
  <si>
    <t>February 1 - 28/29</t>
  </si>
  <si>
    <t>Mexican / Chicano</t>
  </si>
  <si>
    <t>Clay</t>
  </si>
  <si>
    <t>Region 2</t>
  </si>
  <si>
    <t>Monongalia</t>
  </si>
  <si>
    <t>Raleigh</t>
  </si>
  <si>
    <t>Puerto Rican</t>
  </si>
  <si>
    <t xml:space="preserve">Do not identify as female, male or transgender </t>
  </si>
  <si>
    <t>Preston</t>
  </si>
  <si>
    <t>Summers</t>
  </si>
  <si>
    <t>Cuban</t>
  </si>
  <si>
    <t>Grant</t>
  </si>
  <si>
    <t>Randolph</t>
  </si>
  <si>
    <t>Webster</t>
  </si>
  <si>
    <t>YES - NO</t>
  </si>
  <si>
    <t>Dominican</t>
  </si>
  <si>
    <t>Hampshire</t>
  </si>
  <si>
    <t>Taylor</t>
  </si>
  <si>
    <t>Wyoming</t>
  </si>
  <si>
    <t>June 1 - 30</t>
  </si>
  <si>
    <t>Central American</t>
  </si>
  <si>
    <t>Hardy</t>
  </si>
  <si>
    <t>Tucker</t>
  </si>
  <si>
    <t>South American</t>
  </si>
  <si>
    <t>Jefferson</t>
  </si>
  <si>
    <t>Upshur</t>
  </si>
  <si>
    <t>Refused (Explain in Notes)</t>
  </si>
  <si>
    <t xml:space="preserve">Other </t>
  </si>
  <si>
    <t>Mineral</t>
  </si>
  <si>
    <t>TO WHOM REFERRED FOR MH SERVICES</t>
  </si>
  <si>
    <t>Morgan</t>
  </si>
  <si>
    <t>Public/ Private Mental Health</t>
  </si>
  <si>
    <t xml:space="preserve">TREATMENT </t>
  </si>
  <si>
    <t>Pendleton</t>
  </si>
  <si>
    <t>Region 5</t>
  </si>
  <si>
    <t>ER</t>
  </si>
  <si>
    <t>MOUD</t>
  </si>
  <si>
    <t>Psychiatric Hospitalization</t>
  </si>
  <si>
    <t>OUD Treatment</t>
  </si>
  <si>
    <t>Jackson</t>
  </si>
  <si>
    <t>Mobile Crisis Unit</t>
  </si>
  <si>
    <t>N/A Male</t>
  </si>
  <si>
    <t xml:space="preserve">Other TX Services (specify in Notes) </t>
  </si>
  <si>
    <t>Region 3</t>
  </si>
  <si>
    <t>MOUD &amp; OUD Treatment</t>
  </si>
  <si>
    <t>Kanawha</t>
  </si>
  <si>
    <t>OUD</t>
  </si>
  <si>
    <t>MOUD &amp; Other TX Services (specify in Notes)</t>
  </si>
  <si>
    <t>Lincoln</t>
  </si>
  <si>
    <t xml:space="preserve">MOUD, OUD TX &amp; Other TX Services (Specify in Notes) </t>
  </si>
  <si>
    <t>Pleasants</t>
  </si>
  <si>
    <t>Logan</t>
  </si>
  <si>
    <t>Additional Supports Needed / Requested</t>
  </si>
  <si>
    <t>Richie</t>
  </si>
  <si>
    <t>Mason</t>
  </si>
  <si>
    <t>Suicide Prevention Lifeline</t>
  </si>
  <si>
    <t>Roane</t>
  </si>
  <si>
    <t>Mingo</t>
  </si>
  <si>
    <t>Crisis Text Line</t>
  </si>
  <si>
    <t>Tyler</t>
  </si>
  <si>
    <t>Putnam</t>
  </si>
  <si>
    <t xml:space="preserve">SEXUAL ORIENTATION </t>
  </si>
  <si>
    <t>Wirt</t>
  </si>
  <si>
    <t>Wayne</t>
  </si>
  <si>
    <t>Education / Post-Secondary</t>
  </si>
  <si>
    <t>heterosexual</t>
  </si>
  <si>
    <t>Wood</t>
  </si>
  <si>
    <t>Community Organization</t>
  </si>
  <si>
    <t>gay/lesbian</t>
  </si>
  <si>
    <t xml:space="preserve">Faith-Base Organization </t>
  </si>
  <si>
    <t>bisexual</t>
  </si>
  <si>
    <t>not sure</t>
  </si>
  <si>
    <t xml:space="preserve">Additional Needs or Information: </t>
  </si>
  <si>
    <t>Substance Abuse Treatment</t>
  </si>
  <si>
    <t>School-based Health Center</t>
  </si>
  <si>
    <t>Homelessness</t>
  </si>
  <si>
    <t>Military / Veteran</t>
  </si>
  <si>
    <t>Source of EI for RAIS</t>
  </si>
  <si>
    <t>Domestic Violence</t>
  </si>
  <si>
    <t>Suicide Attempt Survivor</t>
  </si>
  <si>
    <t>Support Group</t>
  </si>
  <si>
    <t>Survivor of Suicide Loss</t>
  </si>
  <si>
    <t>ACTIVITES</t>
  </si>
  <si>
    <t>Primary Role of Participants</t>
  </si>
  <si>
    <t>Cross Planning Initiatives</t>
  </si>
  <si>
    <t>Ed - K-12</t>
  </si>
  <si>
    <t>Service Activity Implemented with other sectors</t>
  </si>
  <si>
    <t>Higher Ed</t>
  </si>
  <si>
    <t>Ritchie</t>
  </si>
  <si>
    <t xml:space="preserve">Meeting Attended </t>
  </si>
  <si>
    <t>SA</t>
  </si>
  <si>
    <t>Specific Activities with goal  to Reach High-Risk Populations (Specify Population in Notes)</t>
  </si>
  <si>
    <t>Justice</t>
  </si>
  <si>
    <t>Peer Reviews</t>
  </si>
  <si>
    <t xml:space="preserve">Community (Specify) </t>
  </si>
  <si>
    <t>Peer Support Groups</t>
  </si>
  <si>
    <t>Coalitions</t>
  </si>
  <si>
    <t xml:space="preserve">Materials Distributed (specify kind &amp; amount in notes) </t>
  </si>
  <si>
    <t xml:space="preserve">LIVING SITUATION </t>
  </si>
  <si>
    <t>Owned or rented Home</t>
  </si>
  <si>
    <t>SCREENING</t>
  </si>
  <si>
    <t>Someone else's home</t>
  </si>
  <si>
    <t>screened positive</t>
  </si>
  <si>
    <t>Homeless</t>
  </si>
  <si>
    <t>screened negative</t>
  </si>
  <si>
    <t xml:space="preserve">Residential SA TX </t>
  </si>
  <si>
    <t xml:space="preserve">refused </t>
  </si>
  <si>
    <t>Detox (Inpatient, Residential)</t>
  </si>
  <si>
    <t xml:space="preserve">not completed (explain  in notes) </t>
  </si>
  <si>
    <t xml:space="preserve">Correctional Facility </t>
  </si>
  <si>
    <t>Hospital (Medical)</t>
  </si>
  <si>
    <t>Hospital (Psychiatric)</t>
  </si>
  <si>
    <t xml:space="preserve">Occupation </t>
  </si>
  <si>
    <t xml:space="preserve">REFERRED TO: </t>
  </si>
  <si>
    <t>Public / Private MH Center</t>
  </si>
  <si>
    <t>Healthcare Industry</t>
  </si>
  <si>
    <t xml:space="preserve">Emergency Room / Emergency Dept. </t>
  </si>
  <si>
    <t>Business Management - Sales</t>
  </si>
  <si>
    <t>Arts and Entertainment</t>
  </si>
  <si>
    <t xml:space="preserve">Mining Industry </t>
  </si>
  <si>
    <t xml:space="preserve">Construction Industry </t>
  </si>
  <si>
    <t>Hospitality and Food Service</t>
  </si>
  <si>
    <t>Unemployed</t>
  </si>
  <si>
    <t xml:space="preserve">Student </t>
  </si>
  <si>
    <t xml:space="preserve">Other (specify in Notes) </t>
  </si>
  <si>
    <t xml:space="preserve">type of Consumer Feedback Services </t>
  </si>
  <si>
    <t>Focus group</t>
  </si>
  <si>
    <t xml:space="preserve">DIAGNOSIS(ES) </t>
  </si>
  <si>
    <t>Key-informant interview</t>
  </si>
  <si>
    <t>Opioid Use Disorder (OUD)</t>
  </si>
  <si>
    <t>Survey</t>
  </si>
  <si>
    <t>Substance Use Disorder (SUD)</t>
  </si>
  <si>
    <t xml:space="preserve">Other (specify in Note Section) </t>
  </si>
  <si>
    <t>Mental Health (MH)</t>
  </si>
  <si>
    <t>OUD &amp;  MH</t>
  </si>
  <si>
    <t>parallel</t>
  </si>
  <si>
    <t>SUD &amp; MH</t>
  </si>
  <si>
    <t xml:space="preserve">Survey Completed For: </t>
  </si>
  <si>
    <t>Service Rendered</t>
  </si>
  <si>
    <t xml:space="preserve">Information that was received </t>
  </si>
  <si>
    <t xml:space="preserve">Both Service Rendered &amp; Information that was received </t>
  </si>
  <si>
    <t>RESOURCES</t>
  </si>
  <si>
    <t>Discharge Criteria</t>
  </si>
  <si>
    <t>SUMMARY PAGE</t>
  </si>
  <si>
    <t>same day as assessment</t>
  </si>
  <si>
    <t>Next day of assessment</t>
  </si>
  <si>
    <t>Within 2 days of assessment</t>
  </si>
  <si>
    <t>Education</t>
  </si>
  <si>
    <t>3 - 6 days of assessment</t>
  </si>
  <si>
    <t>Inpatient / Hospital (Other than Detox)</t>
  </si>
  <si>
    <t>Outpatient</t>
  </si>
  <si>
    <t>HIV/Hepatitis B &amp; C Testing</t>
  </si>
  <si>
    <t>Intensive Outpatient</t>
  </si>
  <si>
    <t>partial Hospitalization</t>
  </si>
  <si>
    <t>3.3: Clinically Managed Population-Specific High-Intensity Residential Services</t>
  </si>
  <si>
    <t>Residential / Rehabilitation</t>
  </si>
  <si>
    <t>Detox - Hospital Inpatient</t>
  </si>
  <si>
    <t>3.7: Medically Monitored Intensive Inpatient Services</t>
  </si>
  <si>
    <t>Medicaid Only</t>
  </si>
  <si>
    <t>Detox - Free Standing Clinic</t>
  </si>
  <si>
    <t>Medicare Only</t>
  </si>
  <si>
    <t>Detox - Ambulatory Support</t>
  </si>
  <si>
    <t>Medicare + Supplement</t>
  </si>
  <si>
    <t>Both Medicaid and Medicare</t>
  </si>
  <si>
    <t>Private Insurance</t>
  </si>
  <si>
    <t xml:space="preserve">Veterans </t>
  </si>
  <si>
    <t>Residential SA TX</t>
  </si>
  <si>
    <t>No Insurance</t>
  </si>
  <si>
    <t>N/A</t>
  </si>
  <si>
    <t>Hospital Inpatient TX</t>
  </si>
  <si>
    <t>employed</t>
  </si>
  <si>
    <t xml:space="preserve">Detoxification -  Hospital Withdrawal Mgt </t>
  </si>
  <si>
    <t>Detoxification -  Residential Withdrawal Mgt</t>
  </si>
  <si>
    <t>Not in Labor Force</t>
  </si>
  <si>
    <t xml:space="preserve">Not Available </t>
  </si>
  <si>
    <t>Activity</t>
  </si>
  <si>
    <t xml:space="preserve">Event </t>
  </si>
  <si>
    <t xml:space="preserve">ETHNICITY - GPRA </t>
  </si>
  <si>
    <t>GENDER GPRA</t>
  </si>
  <si>
    <t>No, not of Hispanic, Latino/a, or Spanish origin</t>
  </si>
  <si>
    <t xml:space="preserve">Yes,  Hispanic, Latino, or Spanish origin </t>
  </si>
  <si>
    <t>Refused</t>
  </si>
  <si>
    <t>Declined</t>
  </si>
  <si>
    <t>Unable to Contact</t>
  </si>
  <si>
    <t>Don't Know</t>
  </si>
  <si>
    <t xml:space="preserve">Race - GPRA </t>
  </si>
  <si>
    <t>Full Time</t>
  </si>
  <si>
    <t>Black or African American</t>
  </si>
  <si>
    <t xml:space="preserve">Part Time </t>
  </si>
  <si>
    <t>Part Time</t>
  </si>
  <si>
    <t>American Indian</t>
  </si>
  <si>
    <t>Not Employed</t>
  </si>
  <si>
    <t xml:space="preserve">Not a Student </t>
  </si>
  <si>
    <t>Alaska Native</t>
  </si>
  <si>
    <t>Started</t>
  </si>
  <si>
    <t>In process</t>
  </si>
  <si>
    <t>Delayed (Explain in notes)</t>
  </si>
  <si>
    <t xml:space="preserve">Completed </t>
  </si>
  <si>
    <t>OUD (Opioid Use Disorder)</t>
  </si>
  <si>
    <t>SUD (Stimulant Use Disorder)</t>
  </si>
  <si>
    <t>Mental Health</t>
  </si>
  <si>
    <t xml:space="preserve">Developmental Disabilities </t>
  </si>
  <si>
    <t>Local Task Forces</t>
  </si>
  <si>
    <t>Resource Fairs</t>
  </si>
  <si>
    <t>PROFESSIONS</t>
  </si>
  <si>
    <t>2022 (09/30/2021 - 09/29/2022)</t>
  </si>
  <si>
    <t>2024 (09/30/2023 - 09/29/2024)</t>
  </si>
  <si>
    <t>2025 (09/30/2024 - 09/29/2025)</t>
  </si>
  <si>
    <t>2026 (09/30/2025 - 09/29/2026)</t>
  </si>
  <si>
    <t>2027 (09/30/2026 - 09/29/2027)</t>
  </si>
  <si>
    <t>2028 (09/30/2027 - 09/29/2028)</t>
  </si>
  <si>
    <t>2029 (09/30/2028 - 09/29/2029)</t>
  </si>
  <si>
    <t>2030 (09/30/2029 - 09/29/2030)</t>
  </si>
  <si>
    <t>Internal Space for Grantee</t>
  </si>
  <si>
    <t>Internal Unique Client I.D (needs to match GPRA ID)</t>
  </si>
  <si>
    <t>Date Referred for admission to  MAT</t>
  </si>
  <si>
    <t xml:space="preserve">If from Correctional Facility, was referral prompted by the criminal justice  system? </t>
  </si>
  <si>
    <t>Date Admitted to MAT</t>
  </si>
  <si>
    <t>Has individual been discharged and readmitted since Funded with SOR</t>
  </si>
  <si>
    <t>Is Prescriber MAT Waivered</t>
  </si>
  <si>
    <t xml:space="preserve">Was Assessment Completed at time of Admission (Intake)?  If no Specify why in note section </t>
  </si>
  <si>
    <t xml:space="preserve">Span from Referral to Admission </t>
  </si>
  <si>
    <t xml:space="preserve">ASAM LEVEL OF CARE </t>
  </si>
  <si>
    <t xml:space="preserve">Type of FDA approved MAT Utilized by Client (Choose One) </t>
  </si>
  <si>
    <r>
      <rPr>
        <sz val="8"/>
        <color rgb="FF385623"/>
        <rFont val="Calibri"/>
        <family val="2"/>
      </rPr>
      <t xml:space="preserve">Compliant with SAMHSA Prohibition of the USE of SOR funding for Opioid Detox. </t>
    </r>
    <r>
      <rPr>
        <u/>
        <sz val="8"/>
        <color rgb="FF385623"/>
        <rFont val="Calibri"/>
        <family val="2"/>
      </rPr>
      <t>If not</t>
    </r>
    <r>
      <rPr>
        <sz val="8"/>
        <color rgb="FF385623"/>
        <rFont val="Calibri"/>
        <family val="2"/>
      </rPr>
      <t xml:space="preserve"> go to column BI</t>
    </r>
  </si>
  <si>
    <t>Age</t>
  </si>
  <si>
    <t>Gender</t>
  </si>
  <si>
    <t xml:space="preserve">Ethnicity  Hispanic-Latino </t>
  </si>
  <si>
    <t>Veteran</t>
  </si>
  <si>
    <t>Client Pregnant (If Female need to choose YES or NO)</t>
  </si>
  <si>
    <t>If Pregnant, Due Date</t>
  </si>
  <si>
    <t>If pregnant, Delivery Date</t>
  </si>
  <si>
    <t xml:space="preserve">Living Situation at time of referral </t>
  </si>
  <si>
    <t>Does the individual have a co-occurring mental illness</t>
  </si>
  <si>
    <t>Medical Insurance at time of admission</t>
  </si>
  <si>
    <r>
      <rPr>
        <sz val="8"/>
        <color rgb="FF385623"/>
        <rFont val="Calibri"/>
        <family val="2"/>
      </rPr>
      <t xml:space="preserve">Resources </t>
    </r>
    <r>
      <rPr>
        <u/>
        <sz val="8"/>
        <color rgb="FF385623"/>
        <rFont val="Calibri"/>
        <family val="2"/>
      </rPr>
      <t xml:space="preserve">offered </t>
    </r>
    <r>
      <rPr>
        <sz val="8"/>
        <color rgb="FF385623"/>
        <rFont val="Calibri"/>
        <family val="2"/>
      </rPr>
      <t>by grantee to support recovery</t>
    </r>
  </si>
  <si>
    <r>
      <rPr>
        <sz val="8"/>
        <color rgb="FF385623"/>
        <rFont val="Calibri"/>
        <family val="2"/>
      </rPr>
      <t xml:space="preserve">Resources </t>
    </r>
    <r>
      <rPr>
        <u/>
        <sz val="8"/>
        <color rgb="FF385623"/>
        <rFont val="Calibri"/>
        <family val="2"/>
      </rPr>
      <t>referred</t>
    </r>
    <r>
      <rPr>
        <sz val="8"/>
        <color rgb="FF385623"/>
        <rFont val="Calibri"/>
        <family val="2"/>
      </rPr>
      <t xml:space="preserve"> by grantee to support recovery</t>
    </r>
  </si>
  <si>
    <t>30 DAYS from service onset(Date)</t>
  </si>
  <si>
    <t xml:space="preserve"> Days                                                                              # Other: Specify in Note Section </t>
  </si>
  <si>
    <t>60 DAYS from service onset (Date)</t>
  </si>
  <si>
    <t>60 Days                               Other: Specify in Note Section</t>
  </si>
  <si>
    <t>90 DAYS from service onset (Date)</t>
  </si>
  <si>
    <t>90 Days                   Other: Specify in Note Section</t>
  </si>
  <si>
    <t>6 MONTHS  from service onset (Date)</t>
  </si>
  <si>
    <t>6 mo                                                            Other: Specify in Note Section</t>
  </si>
  <si>
    <t>1 YEAR from service onset (Date)</t>
  </si>
  <si>
    <t>1 yr                                                                                                    Other: Specify in Note Section</t>
  </si>
  <si>
    <t>DISCHARGE -                         Client Discharged</t>
  </si>
  <si>
    <t xml:space="preserve">2a) GRANTEE - PROGRAM INFORMATION:   (Any changes will need to be made on 1BASEGRANTEE INFO &amp; UPDATES Tab) </t>
  </si>
  <si>
    <r>
      <rPr>
        <b/>
        <sz val="11"/>
        <color theme="1"/>
        <rFont val="Calibri"/>
        <family val="2"/>
      </rPr>
      <t xml:space="preserve">Program: </t>
    </r>
    <r>
      <rPr>
        <sz val="8"/>
        <color theme="1"/>
        <rFont val="Calibri"/>
        <family val="2"/>
      </rPr>
      <t>(same as on Statement of Work [SOW])</t>
    </r>
  </si>
  <si>
    <r>
      <rPr>
        <b/>
        <sz val="11"/>
        <color theme="1"/>
        <rFont val="Calibri"/>
        <family val="2"/>
      </rPr>
      <t xml:space="preserve">Name of Program: </t>
    </r>
    <r>
      <rPr>
        <sz val="11"/>
        <color theme="1"/>
        <rFont val="Calibri"/>
        <family val="2"/>
      </rPr>
      <t>(given by Grantee)</t>
    </r>
  </si>
  <si>
    <t>Contact Phone:</t>
  </si>
  <si>
    <r>
      <rPr>
        <b/>
        <sz val="11"/>
        <color theme="1"/>
        <rFont val="Calibri"/>
        <family val="2"/>
      </rPr>
      <t>Grant Number:</t>
    </r>
    <r>
      <rPr>
        <sz val="11"/>
        <color theme="1"/>
        <rFont val="Calibri"/>
        <family val="2"/>
      </rPr>
      <t xml:space="preserve"> </t>
    </r>
    <r>
      <rPr>
        <sz val="8"/>
        <color theme="1"/>
        <rFont val="Calibri"/>
        <family val="2"/>
      </rPr>
      <t xml:space="preserve">(located on Grant Agreement) </t>
    </r>
  </si>
  <si>
    <r>
      <rPr>
        <b/>
        <sz val="11"/>
        <color theme="1"/>
        <rFont val="Calibri"/>
        <family val="2"/>
      </rPr>
      <t>Month/Year Being Reported</t>
    </r>
    <r>
      <rPr>
        <b/>
        <sz val="8"/>
        <color theme="1"/>
        <rFont val="Calibri"/>
        <family val="2"/>
      </rPr>
      <t xml:space="preserve"> </t>
    </r>
    <r>
      <rPr>
        <sz val="8"/>
        <color theme="1"/>
        <rFont val="Calibri"/>
        <family val="2"/>
      </rPr>
      <t xml:space="preserve">(Drop-Down box) </t>
    </r>
  </si>
  <si>
    <r>
      <rPr>
        <b/>
        <sz val="11"/>
        <color theme="1"/>
        <rFont val="Calibri"/>
        <family val="2"/>
      </rPr>
      <t>Program Code:</t>
    </r>
    <r>
      <rPr>
        <sz val="11"/>
        <color theme="1"/>
        <rFont val="Calibri"/>
        <family val="2"/>
      </rPr>
      <t xml:space="preserve"> </t>
    </r>
    <r>
      <rPr>
        <sz val="8"/>
        <color theme="1"/>
        <rFont val="Calibri"/>
        <family val="2"/>
      </rPr>
      <t xml:space="preserve">(located on TFB or SOW) </t>
    </r>
  </si>
  <si>
    <t xml:space="preserve">2b) DEMOGRAPHICS - COMPLETE WHEN CLIENT IS ADMITTED TO THE PROGRAM </t>
  </si>
  <si>
    <t xml:space="preserve">DATE  of Referral to MAT (MM/DD/YYYY)(will auto populate ) </t>
  </si>
  <si>
    <t>Date of Admission to MAT (MM/DD/YYYY) (will auto populate)</t>
  </si>
  <si>
    <t>Date of Activity 00/00/0000</t>
  </si>
  <si>
    <t>Outcome of Activity, Meeting or Event</t>
  </si>
  <si>
    <t>Harm Reduction Program</t>
  </si>
  <si>
    <t>WV Bureau For Behavioral Health - Harm Reduction 2025</t>
  </si>
  <si>
    <r>
      <rPr>
        <b/>
        <sz val="12"/>
        <color theme="1"/>
        <rFont val="Calibri"/>
        <family val="2"/>
      </rPr>
      <t xml:space="preserve">Program: </t>
    </r>
    <r>
      <rPr>
        <sz val="12"/>
        <color theme="1"/>
        <rFont val="Calibri"/>
        <family val="2"/>
      </rPr>
      <t>(same as on Statement of Work [SOW])</t>
    </r>
  </si>
  <si>
    <r>
      <rPr>
        <b/>
        <sz val="12"/>
        <color theme="1"/>
        <rFont val="Calibri"/>
        <family val="2"/>
      </rPr>
      <t xml:space="preserve">Name of Program: </t>
    </r>
    <r>
      <rPr>
        <sz val="12"/>
        <color theme="1"/>
        <rFont val="Calibri"/>
        <family val="2"/>
      </rPr>
      <t>(given by Grantee)</t>
    </r>
  </si>
  <si>
    <r>
      <rPr>
        <b/>
        <sz val="12"/>
        <color theme="1"/>
        <rFont val="Calibri"/>
        <family val="2"/>
      </rPr>
      <t>Grant Number:</t>
    </r>
    <r>
      <rPr>
        <sz val="12"/>
        <color theme="1"/>
        <rFont val="Calibri"/>
        <family val="2"/>
      </rPr>
      <t xml:space="preserve"> (located on Grant Agreement) </t>
    </r>
  </si>
  <si>
    <r>
      <rPr>
        <b/>
        <sz val="12"/>
        <color theme="1"/>
        <rFont val="Calibri"/>
        <family val="2"/>
      </rPr>
      <t xml:space="preserve">Month/Year Being Reported </t>
    </r>
    <r>
      <rPr>
        <sz val="12"/>
        <color theme="1"/>
        <rFont val="Calibri"/>
        <family val="2"/>
      </rPr>
      <t xml:space="preserve">(Drop-Down box) </t>
    </r>
  </si>
  <si>
    <r>
      <rPr>
        <b/>
        <sz val="12"/>
        <color theme="1"/>
        <rFont val="Calibri"/>
        <family val="2"/>
      </rPr>
      <t>Program Code:</t>
    </r>
    <r>
      <rPr>
        <sz val="12"/>
        <color theme="1"/>
        <rFont val="Calibri"/>
        <family val="2"/>
      </rPr>
      <t xml:space="preserve"> (located on TFB or SOW) </t>
    </r>
  </si>
  <si>
    <t>1)Describe major accomplishments for each of your approved acitivites. Include outcomes data for each activity. 2)Describe barriers and how you have addressed them. Include any barriers still left to address. 3)Describe your progress achieved in addressing the needs of diverse populations (e.g; racial/ethnic minorites, LGBTQ+, older adults) and implementation of targeted interventions to promote behavioral health equity. behavioral health equity.</t>
  </si>
  <si>
    <t>1a) GRANTEE - PROGRAM INFORMATION</t>
  </si>
  <si>
    <t>Trainings, Meetings, or Events Held and/or Attended</t>
  </si>
  <si>
    <t>SEPT 30th</t>
  </si>
  <si>
    <t>SEPT 1-29</t>
  </si>
  <si>
    <t xml:space="preserve">Program reports need to be submitted electronically, via e-mail to BBHReporting@wv.gov  within 25 calendar days of the end of each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</si>
</sst>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12" x14ac:knownFonts="1">
    <font>
      <sz val="11"/>
      <color theme="1"/>
      <name val="Calibri"/>
      <scheme val="minor"/>
    </font>
    <font>
      <b/>
      <sz val="12"/>
      <color theme="1"/>
      <name val="Calibri"/>
      <family val="2"/>
    </font>
    <font>
      <sz val="11"/>
      <name val="Calibri"/>
      <family val="2"/>
    </font>
    <font>
      <sz val="12"/>
      <color theme="1"/>
      <name val="Calibri"/>
      <family val="2"/>
    </font>
    <font>
      <sz val="11"/>
      <color theme="1"/>
      <name val="Calibri"/>
      <family val="2"/>
    </font>
    <font>
      <sz val="8"/>
      <color theme="1"/>
      <name val="Calibri"/>
      <family val="2"/>
    </font>
    <font>
      <b/>
      <sz val="11"/>
      <color theme="1"/>
      <name val="Calibri"/>
      <family val="2"/>
    </font>
    <font>
      <b/>
      <sz val="11"/>
      <color rgb="FFFF0000"/>
      <name val="Calibri"/>
      <family val="2"/>
    </font>
    <font>
      <sz val="10"/>
      <color theme="1"/>
      <name val="Calibri"/>
      <family val="2"/>
    </font>
    <font>
      <b/>
      <sz val="16"/>
      <color theme="1"/>
      <name val="Calibri"/>
      <family val="2"/>
    </font>
    <font>
      <b/>
      <sz val="12"/>
      <color rgb="FF833C0B"/>
      <name val="Calibri"/>
      <family val="2"/>
    </font>
    <font>
      <b/>
      <sz val="14"/>
      <color theme="0"/>
      <name val="Calibri"/>
      <family val="2"/>
    </font>
    <font>
      <b/>
      <sz val="11"/>
      <color rgb="FF833C0B"/>
      <name val="Calibri"/>
      <family val="2"/>
    </font>
    <font>
      <b/>
      <sz val="11"/>
      <color rgb="FFC5E0B3"/>
      <name val="Calibri"/>
      <family val="2"/>
    </font>
    <font>
      <b/>
      <sz val="8"/>
      <color theme="1"/>
      <name val="Calibri"/>
      <family val="2"/>
    </font>
    <font>
      <b/>
      <sz val="9"/>
      <color rgb="FF7F6000"/>
      <name val="Calibri"/>
      <family val="2"/>
    </font>
    <font>
      <b/>
      <sz val="10"/>
      <color theme="1"/>
      <name val="Calibri"/>
      <family val="2"/>
    </font>
    <font>
      <b/>
      <sz val="11"/>
      <color theme="0"/>
      <name val="Calibri"/>
      <family val="2"/>
    </font>
    <font>
      <b/>
      <sz val="10"/>
      <color rgb="FF833C0B"/>
      <name val="Calibri"/>
      <family val="2"/>
    </font>
    <font>
      <sz val="9"/>
      <color theme="1"/>
      <name val="Calibri"/>
      <family val="2"/>
    </font>
    <font>
      <sz val="8"/>
      <color theme="0"/>
      <name val="Calibri"/>
      <family val="2"/>
    </font>
    <font>
      <b/>
      <sz val="8"/>
      <color theme="0"/>
      <name val="Calibri"/>
      <family val="2"/>
    </font>
    <font>
      <sz val="11"/>
      <color theme="0"/>
      <name val="Calibri"/>
      <family val="2"/>
    </font>
    <font>
      <b/>
      <sz val="12"/>
      <color theme="0"/>
      <name val="Calibri"/>
      <family val="2"/>
    </font>
    <font>
      <sz val="11"/>
      <color rgb="FF483500"/>
      <name val="Calibri"/>
      <family val="2"/>
    </font>
    <font>
      <sz val="11"/>
      <color theme="1"/>
      <name val="Calibri"/>
      <family val="2"/>
      <scheme val="minor"/>
    </font>
    <font>
      <b/>
      <sz val="11"/>
      <color rgb="FF483500"/>
      <name val="Calibri"/>
      <family val="2"/>
    </font>
    <font>
      <b/>
      <sz val="11"/>
      <color theme="1"/>
      <name val="Arial"/>
      <family val="2"/>
    </font>
    <font>
      <sz val="11"/>
      <color theme="1"/>
      <name val="Arial"/>
      <family val="2"/>
    </font>
    <font>
      <b/>
      <sz val="9"/>
      <color rgb="FF0070C0"/>
      <name val="Calibri"/>
      <family val="2"/>
    </font>
    <font>
      <b/>
      <sz val="9"/>
      <color theme="1"/>
      <name val="Calibri"/>
      <family val="2"/>
    </font>
    <font>
      <b/>
      <sz val="10"/>
      <color rgb="FF7F6000"/>
      <name val="Calibri"/>
      <family val="2"/>
    </font>
    <font>
      <b/>
      <sz val="13"/>
      <color theme="0"/>
      <name val="Calibri"/>
      <family val="2"/>
    </font>
    <font>
      <b/>
      <sz val="10"/>
      <color rgb="FF0070C0"/>
      <name val="Calibri"/>
      <family val="2"/>
    </font>
    <font>
      <b/>
      <sz val="11"/>
      <color rgb="FF0070C0"/>
      <name val="Calibri"/>
      <family val="2"/>
    </font>
    <font>
      <b/>
      <sz val="8"/>
      <color rgb="FF7F6000"/>
      <name val="Calibri"/>
      <family val="2"/>
    </font>
    <font>
      <sz val="11"/>
      <color rgb="FF7F6000"/>
      <name val="Calibri"/>
      <family val="2"/>
    </font>
    <font>
      <sz val="14"/>
      <color theme="1"/>
      <name val="Calibri"/>
      <family val="2"/>
    </font>
    <font>
      <sz val="9"/>
      <color rgb="FF7F6000"/>
      <name val="Calibri"/>
      <family val="2"/>
    </font>
    <font>
      <sz val="8"/>
      <color rgb="FF7F6000"/>
      <name val="Calibri"/>
      <family val="2"/>
    </font>
    <font>
      <b/>
      <sz val="8"/>
      <color rgb="FF385623"/>
      <name val="Calibri"/>
      <family val="2"/>
    </font>
    <font>
      <b/>
      <sz val="11"/>
      <color rgb="FF7F6000"/>
      <name val="Calibri"/>
      <family val="2"/>
    </font>
    <font>
      <b/>
      <sz val="9"/>
      <color theme="0"/>
      <name val="Calibri"/>
      <family val="2"/>
    </font>
    <font>
      <b/>
      <sz val="9"/>
      <color rgb="FFD9E2F3"/>
      <name val="Calibri"/>
      <family val="2"/>
    </font>
    <font>
      <sz val="9"/>
      <color rgb="FFE2EFD9"/>
      <name val="Calibri"/>
      <family val="2"/>
    </font>
    <font>
      <b/>
      <sz val="9"/>
      <color rgb="FFDEEAF6"/>
      <name val="Calibri"/>
      <family val="2"/>
    </font>
    <font>
      <b/>
      <sz val="9"/>
      <color rgb="FFFEF2CB"/>
      <name val="Calibri"/>
      <family val="2"/>
    </font>
    <font>
      <b/>
      <sz val="9"/>
      <color rgb="FFD0CECE"/>
      <name val="Calibri"/>
      <family val="2"/>
    </font>
    <font>
      <b/>
      <sz val="11"/>
      <color rgb="FFD9E2F3"/>
      <name val="Calibri"/>
      <family val="2"/>
    </font>
    <font>
      <b/>
      <sz val="11"/>
      <color rgb="FFE2EFD9"/>
      <name val="Calibri"/>
      <family val="2"/>
    </font>
    <font>
      <b/>
      <sz val="11"/>
      <color rgb="FFDEEAF6"/>
      <name val="Calibri"/>
      <family val="2"/>
    </font>
    <font>
      <b/>
      <sz val="11"/>
      <color rgb="FFFEF2CB"/>
      <name val="Calibri"/>
      <family val="2"/>
    </font>
    <font>
      <b/>
      <sz val="11"/>
      <color rgb="FFD0CECE"/>
      <name val="Calibri"/>
      <family val="2"/>
    </font>
    <font>
      <sz val="8"/>
      <color rgb="FF833C0B"/>
      <name val="Calibri"/>
      <family val="2"/>
    </font>
    <font>
      <b/>
      <sz val="8"/>
      <color rgb="FF833C0B"/>
      <name val="Calibri"/>
      <family val="2"/>
    </font>
    <font>
      <sz val="9"/>
      <color rgb="FFFF0000"/>
      <name val="Calibri"/>
      <family val="2"/>
    </font>
    <font>
      <b/>
      <u/>
      <sz val="12"/>
      <color rgb="FF7F6000"/>
      <name val="Calibri"/>
      <family val="2"/>
    </font>
    <font>
      <b/>
      <u/>
      <sz val="12"/>
      <color rgb="FF7F6000"/>
      <name val="Calibri"/>
      <family val="2"/>
    </font>
    <font>
      <b/>
      <u/>
      <sz val="12"/>
      <color rgb="FF7F6000"/>
      <name val="Calibri"/>
      <family val="2"/>
    </font>
    <font>
      <b/>
      <u/>
      <sz val="12"/>
      <color rgb="FF7F6000"/>
      <name val="Calibri"/>
      <family val="2"/>
    </font>
    <font>
      <b/>
      <u/>
      <sz val="12"/>
      <color rgb="FF7F6000"/>
      <name val="Calibri"/>
      <family val="2"/>
    </font>
    <font>
      <b/>
      <sz val="8"/>
      <color rgb="FF0070C0"/>
      <name val="Calibri"/>
      <family val="2"/>
    </font>
    <font>
      <sz val="8"/>
      <color rgb="FF385623"/>
      <name val="Calibri"/>
      <family val="2"/>
    </font>
    <font>
      <sz val="10"/>
      <color rgb="FF7F6000"/>
      <name val="Calibri"/>
      <family val="2"/>
    </font>
    <font>
      <sz val="9"/>
      <color rgb="FF0070C0"/>
      <name val="Calibri"/>
      <family val="2"/>
    </font>
    <font>
      <sz val="24"/>
      <color rgb="FF505050"/>
      <name val="Georgia"/>
      <family val="1"/>
    </font>
    <font>
      <sz val="11"/>
      <color rgb="FFFF0000"/>
      <name val="Calibri"/>
      <family val="2"/>
    </font>
    <font>
      <sz val="11"/>
      <color rgb="FF0070C0"/>
      <name val="Calibri"/>
      <family val="2"/>
    </font>
    <font>
      <sz val="6"/>
      <color theme="1"/>
      <name val="Calibri"/>
      <family val="2"/>
    </font>
    <font>
      <sz val="11"/>
      <color rgb="FF1E4E79"/>
      <name val="Calibri"/>
      <family val="2"/>
    </font>
    <font>
      <sz val="9"/>
      <color rgb="FF002060"/>
      <name val="Calibri"/>
      <family val="2"/>
    </font>
    <font>
      <sz val="9"/>
      <color rgb="FF1E4E79"/>
      <name val="Calibri"/>
      <family val="2"/>
    </font>
    <font>
      <sz val="11"/>
      <color rgb="FF002060"/>
      <name val="Calibri"/>
      <family val="2"/>
    </font>
    <font>
      <b/>
      <sz val="11"/>
      <color rgb="FF1E4E79"/>
      <name val="Calibri"/>
      <family val="2"/>
    </font>
    <font>
      <b/>
      <sz val="14"/>
      <color rgb="FFFFDDFF"/>
      <name val="Calibri"/>
      <family val="2"/>
    </font>
    <font>
      <sz val="9"/>
      <color rgb="FF385623"/>
      <name val="Calibri"/>
      <family val="2"/>
    </font>
    <font>
      <sz val="12"/>
      <color rgb="FFFF0000"/>
      <name val="Calibri"/>
      <family val="2"/>
    </font>
    <font>
      <b/>
      <sz val="9"/>
      <color rgb="FF833C0B"/>
      <name val="Calibri"/>
      <family val="2"/>
    </font>
    <font>
      <sz val="14"/>
      <color theme="0"/>
      <name val="Calibri"/>
      <family val="2"/>
    </font>
    <font>
      <b/>
      <sz val="20"/>
      <color theme="1"/>
      <name val="Calibri"/>
      <family val="2"/>
    </font>
    <font>
      <b/>
      <sz val="14"/>
      <color theme="1"/>
      <name val="Calibri"/>
      <family val="2"/>
    </font>
    <font>
      <b/>
      <sz val="10"/>
      <color theme="0"/>
      <name val="Calibri"/>
      <family val="2"/>
    </font>
    <font>
      <b/>
      <sz val="8"/>
      <color rgb="FF684D00"/>
      <name val="Calibri"/>
      <family val="2"/>
    </font>
    <font>
      <sz val="10"/>
      <color theme="0"/>
      <name val="Calibri"/>
      <family val="2"/>
    </font>
    <font>
      <b/>
      <sz val="8"/>
      <color rgb="FF642F04"/>
      <name val="Calibri"/>
      <family val="2"/>
    </font>
    <font>
      <sz val="8"/>
      <color rgb="FF0070C0"/>
      <name val="Calibri"/>
      <family val="2"/>
    </font>
    <font>
      <b/>
      <sz val="10"/>
      <color rgb="FF684D00"/>
      <name val="Calibri"/>
      <family val="2"/>
    </font>
    <font>
      <b/>
      <sz val="10"/>
      <color rgb="FF00518E"/>
      <name val="Calibri"/>
      <family val="2"/>
    </font>
    <font>
      <b/>
      <sz val="10"/>
      <color rgb="FF642F04"/>
      <name val="Calibri"/>
      <family val="2"/>
    </font>
    <font>
      <b/>
      <sz val="12"/>
      <color rgb="FF0070C0"/>
      <name val="Calibri"/>
      <family val="2"/>
    </font>
    <font>
      <b/>
      <sz val="12"/>
      <color rgb="FF7F6000"/>
      <name val="Calibri"/>
      <family val="2"/>
    </font>
    <font>
      <b/>
      <sz val="12"/>
      <color rgb="FF684D00"/>
      <name val="Calibri"/>
      <family val="2"/>
    </font>
    <font>
      <b/>
      <sz val="12"/>
      <color rgb="FF00518E"/>
      <name val="Calibri"/>
      <family val="2"/>
    </font>
    <font>
      <b/>
      <sz val="12"/>
      <color rgb="FF642F04"/>
      <name val="Calibri"/>
      <family val="2"/>
    </font>
    <font>
      <b/>
      <sz val="10"/>
      <color rgb="FFFF0000"/>
      <name val="Calibri"/>
      <family val="2"/>
    </font>
    <font>
      <sz val="9"/>
      <color rgb="FF833C0B"/>
      <name val="Calibri"/>
      <family val="2"/>
    </font>
    <font>
      <sz val="8"/>
      <color rgb="FF002060"/>
      <name val="Calibri"/>
      <family val="2"/>
    </font>
    <font>
      <sz val="8"/>
      <color rgb="FFFF66FF"/>
      <name val="Calibri"/>
      <family val="2"/>
    </font>
    <font>
      <sz val="8"/>
      <color rgb="FFA8D08D"/>
      <name val="Calibri"/>
      <family val="2"/>
    </font>
    <font>
      <b/>
      <sz val="7"/>
      <color theme="1"/>
      <name val="Times New Roman"/>
      <family val="1"/>
    </font>
    <font>
      <sz val="7"/>
      <color theme="1"/>
      <name val="Times New Roman"/>
      <family val="1"/>
    </font>
    <font>
      <b/>
      <u/>
      <sz val="11"/>
      <color rgb="FF0000FF"/>
      <name val="Arial"/>
      <family val="2"/>
    </font>
    <font>
      <b/>
      <sz val="11"/>
      <color rgb="FF2582D5"/>
      <name val="Arial"/>
      <family val="2"/>
    </font>
    <font>
      <b/>
      <sz val="11"/>
      <color rgb="FF201F1E"/>
      <name val="Calibri"/>
      <family val="2"/>
    </font>
    <font>
      <sz val="8"/>
      <color rgb="FFFF0000"/>
      <name val="Calibri"/>
      <family val="2"/>
    </font>
    <font>
      <sz val="10"/>
      <color rgb="FFFF0000"/>
      <name val="Calibri"/>
      <family val="2"/>
    </font>
    <font>
      <b/>
      <u/>
      <sz val="10"/>
      <color rgb="FFFF0000"/>
      <name val="Calibri"/>
      <family val="2"/>
    </font>
    <font>
      <u/>
      <sz val="10"/>
      <color rgb="FFFF0000"/>
      <name val="Calibri"/>
      <family val="2"/>
    </font>
    <font>
      <u/>
      <sz val="8"/>
      <color rgb="FF385623"/>
      <name val="Calibri"/>
      <family val="2"/>
    </font>
    <font>
      <sz val="9"/>
      <color rgb="FF283C46"/>
      <name val="Helvetica"/>
      <family val="2"/>
    </font>
    <font>
      <b/>
      <sz val="8"/>
      <color rgb="FF000000"/>
      <name val="Calibri"/>
      <family val="2"/>
      <scheme val="minor"/>
    </font>
    <font>
      <sz val="12"/>
      <name val="Calibri"/>
      <family val="2"/>
    </font>
  </fonts>
  <fills count="72">
    <fill>
      <patternFill patternType="none"/>
    </fill>
    <fill>
      <patternFill patternType="gray125"/>
    </fill>
    <fill>
      <patternFill patternType="solid">
        <fgColor rgb="FFFFD965"/>
        <bgColor rgb="FFFFD965"/>
      </patternFill>
    </fill>
    <fill>
      <patternFill patternType="solid">
        <fgColor theme="1"/>
        <bgColor theme="1"/>
      </patternFill>
    </fill>
    <fill>
      <patternFill patternType="solid">
        <fgColor rgb="FFFEF2CB"/>
        <bgColor rgb="FFFEF2CB"/>
      </patternFill>
    </fill>
    <fill>
      <patternFill patternType="solid">
        <fgColor rgb="FFFFFF66"/>
        <bgColor rgb="FFFFFF66"/>
      </patternFill>
    </fill>
    <fill>
      <patternFill patternType="solid">
        <fgColor rgb="FFFFFFCC"/>
        <bgColor rgb="FFFFFFCC"/>
      </patternFill>
    </fill>
    <fill>
      <patternFill patternType="solid">
        <fgColor rgb="FFFFFF99"/>
        <bgColor rgb="FFFFFF99"/>
      </patternFill>
    </fill>
    <fill>
      <patternFill patternType="solid">
        <fgColor rgb="FF00B0F0"/>
        <bgColor rgb="FF00B0F0"/>
      </patternFill>
    </fill>
    <fill>
      <patternFill patternType="solid">
        <fgColor rgb="FFBDD6EE"/>
        <bgColor rgb="FFBDD6EE"/>
      </patternFill>
    </fill>
    <fill>
      <patternFill patternType="solid">
        <fgColor rgb="FFDEEAF6"/>
        <bgColor rgb="FFDEEAF6"/>
      </patternFill>
    </fill>
    <fill>
      <patternFill patternType="solid">
        <fgColor rgb="FFBF9000"/>
        <bgColor rgb="FFBF9000"/>
      </patternFill>
    </fill>
    <fill>
      <patternFill patternType="solid">
        <fgColor rgb="FFFFE598"/>
        <bgColor rgb="FFFFE598"/>
      </patternFill>
    </fill>
    <fill>
      <patternFill patternType="solid">
        <fgColor rgb="FF002060"/>
        <bgColor rgb="FF002060"/>
      </patternFill>
    </fill>
    <fill>
      <patternFill patternType="solid">
        <fgColor rgb="FFBFBFBF"/>
        <bgColor rgb="FFBFBFBF"/>
      </patternFill>
    </fill>
    <fill>
      <patternFill patternType="solid">
        <fgColor rgb="FF483500"/>
        <bgColor rgb="FF483500"/>
      </patternFill>
    </fill>
    <fill>
      <patternFill patternType="solid">
        <fgColor rgb="FFFFFF85"/>
        <bgColor rgb="FFFFFF85"/>
      </patternFill>
    </fill>
    <fill>
      <patternFill patternType="solid">
        <fgColor rgb="FFA8D08D"/>
        <bgColor rgb="FFA8D08D"/>
      </patternFill>
    </fill>
    <fill>
      <patternFill patternType="solid">
        <fgColor rgb="FFC5E0B3"/>
        <bgColor rgb="FFC5E0B3"/>
      </patternFill>
    </fill>
    <fill>
      <patternFill patternType="solid">
        <fgColor rgb="FF385623"/>
        <bgColor rgb="FF385623"/>
      </patternFill>
    </fill>
    <fill>
      <patternFill patternType="solid">
        <fgColor rgb="FFD8D8D8"/>
        <bgColor rgb="FFD8D8D8"/>
      </patternFill>
    </fill>
    <fill>
      <patternFill patternType="solid">
        <fgColor rgb="FF1B0D03"/>
        <bgColor rgb="FF1B0D03"/>
      </patternFill>
    </fill>
    <fill>
      <patternFill patternType="solid">
        <fgColor rgb="FFF4B083"/>
        <bgColor rgb="FFF4B083"/>
      </patternFill>
    </fill>
    <fill>
      <patternFill patternType="solid">
        <fgColor rgb="FF833C0B"/>
        <bgColor rgb="FF833C0B"/>
      </patternFill>
    </fill>
    <fill>
      <patternFill patternType="solid">
        <fgColor rgb="FFCFAFE7"/>
        <bgColor rgb="FFCFAFE7"/>
      </patternFill>
    </fill>
    <fill>
      <patternFill patternType="solid">
        <fgColor rgb="FF632B8D"/>
        <bgColor rgb="FF632B8D"/>
      </patternFill>
    </fill>
    <fill>
      <patternFill patternType="solid">
        <fgColor rgb="FFE1CCF0"/>
        <bgColor rgb="FFE1CCF0"/>
      </patternFill>
    </fill>
    <fill>
      <patternFill patternType="solid">
        <fgColor rgb="FF9CC2E5"/>
        <bgColor rgb="FF9CC2E5"/>
      </patternFill>
    </fill>
    <fill>
      <patternFill patternType="solid">
        <fgColor rgb="FFA5A5A5"/>
        <bgColor rgb="FFA5A5A5"/>
      </patternFill>
    </fill>
    <fill>
      <patternFill patternType="solid">
        <fgColor rgb="FFFFFF00"/>
        <bgColor rgb="FFFFFF00"/>
      </patternFill>
    </fill>
    <fill>
      <patternFill patternType="solid">
        <fgColor rgb="FFFFFF2F"/>
        <bgColor rgb="FFFFFF2F"/>
      </patternFill>
    </fill>
    <fill>
      <patternFill patternType="solid">
        <fgColor rgb="FFF7CAAC"/>
        <bgColor rgb="FFF7CAAC"/>
      </patternFill>
    </fill>
    <fill>
      <patternFill patternType="solid">
        <fgColor rgb="FFC55A11"/>
        <bgColor rgb="FFC55A11"/>
      </patternFill>
    </fill>
    <fill>
      <patternFill patternType="solid">
        <fgColor rgb="FFFFD357"/>
        <bgColor rgb="FFFFD357"/>
      </patternFill>
    </fill>
    <fill>
      <patternFill patternType="solid">
        <fgColor rgb="FF1F3864"/>
        <bgColor rgb="FF1F3864"/>
      </patternFill>
    </fill>
    <fill>
      <patternFill patternType="solid">
        <fgColor rgb="FFD6DCE4"/>
        <bgColor rgb="FFD6DCE4"/>
      </patternFill>
    </fill>
    <fill>
      <patternFill patternType="solid">
        <fgColor rgb="FFADB9CA"/>
        <bgColor rgb="FFADB9CA"/>
      </patternFill>
    </fill>
    <fill>
      <patternFill patternType="solid">
        <fgColor rgb="FF122D46"/>
        <bgColor rgb="FF122D46"/>
      </patternFill>
    </fill>
    <fill>
      <patternFill patternType="solid">
        <fgColor rgb="FF584300"/>
        <bgColor rgb="FF584300"/>
      </patternFill>
    </fill>
    <fill>
      <patternFill patternType="solid">
        <fgColor rgb="FF414141"/>
        <bgColor rgb="FF414141"/>
      </patternFill>
    </fill>
    <fill>
      <patternFill patternType="solid">
        <fgColor rgb="FFDADADA"/>
        <bgColor rgb="FFDADADA"/>
      </patternFill>
    </fill>
    <fill>
      <patternFill patternType="solid">
        <fgColor rgb="FFC8C8C8"/>
        <bgColor rgb="FFC8C8C8"/>
      </patternFill>
    </fill>
    <fill>
      <patternFill patternType="solid">
        <fgColor rgb="FFFF9BFF"/>
        <bgColor rgb="FFFF9BFF"/>
      </patternFill>
    </fill>
    <fill>
      <patternFill patternType="solid">
        <fgColor rgb="FFFF7DFF"/>
        <bgColor rgb="FFFF7DFF"/>
      </patternFill>
    </fill>
    <fill>
      <patternFill patternType="solid">
        <fgColor rgb="FFA4D76B"/>
        <bgColor rgb="FFA4D76B"/>
      </patternFill>
    </fill>
    <fill>
      <patternFill patternType="solid">
        <fgColor rgb="FFBAE18F"/>
        <bgColor rgb="FFBAE18F"/>
      </patternFill>
    </fill>
    <fill>
      <patternFill patternType="solid">
        <fgColor rgb="FFFF8F8F"/>
        <bgColor rgb="FFFF8F8F"/>
      </patternFill>
    </fill>
    <fill>
      <patternFill patternType="solid">
        <fgColor rgb="FFFFB3B3"/>
        <bgColor rgb="FFFFB3B3"/>
      </patternFill>
    </fill>
    <fill>
      <patternFill patternType="solid">
        <fgColor rgb="FF9AD35B"/>
        <bgColor rgb="FF9AD35B"/>
      </patternFill>
    </fill>
    <fill>
      <patternFill patternType="solid">
        <fgColor rgb="FFFF8B8B"/>
        <bgColor rgb="FFFF8B8B"/>
      </patternFill>
    </fill>
    <fill>
      <patternFill patternType="solid">
        <fgColor rgb="FF1E4E79"/>
        <bgColor rgb="FF1E4E79"/>
      </patternFill>
    </fill>
    <fill>
      <patternFill patternType="solid">
        <fgColor rgb="FFE2EFD9"/>
        <bgColor rgb="FFE2EFD9"/>
      </patternFill>
    </fill>
    <fill>
      <patternFill patternType="solid">
        <fgColor rgb="FFECECEC"/>
        <bgColor rgb="FFECECEC"/>
      </patternFill>
    </fill>
    <fill>
      <patternFill patternType="solid">
        <fgColor rgb="FFFBE4D5"/>
        <bgColor rgb="FFFBE4D5"/>
      </patternFill>
    </fill>
    <fill>
      <patternFill patternType="solid">
        <fgColor rgb="FFFFFFA3"/>
        <bgColor rgb="FFFFFFA3"/>
      </patternFill>
    </fill>
    <fill>
      <patternFill patternType="solid">
        <fgColor rgb="FFFFE07D"/>
        <bgColor rgb="FFFFE07D"/>
      </patternFill>
    </fill>
    <fill>
      <patternFill patternType="solid">
        <fgColor rgb="FF2E75B5"/>
        <bgColor rgb="FF2E75B5"/>
      </patternFill>
    </fill>
    <fill>
      <patternFill patternType="solid">
        <fgColor rgb="FF7030A0"/>
        <bgColor rgb="FF7030A0"/>
      </patternFill>
    </fill>
    <fill>
      <patternFill patternType="solid">
        <fgColor rgb="FFCDACE6"/>
        <bgColor rgb="FFCDACE6"/>
      </patternFill>
    </fill>
    <fill>
      <patternFill patternType="solid">
        <fgColor rgb="FFBD92DE"/>
        <bgColor rgb="FFBD92DE"/>
      </patternFill>
    </fill>
    <fill>
      <patternFill patternType="solid">
        <fgColor rgb="FF0070C0"/>
        <bgColor rgb="FF0070C0"/>
      </patternFill>
    </fill>
    <fill>
      <patternFill patternType="solid">
        <fgColor rgb="FF57D3FF"/>
        <bgColor rgb="FF57D3FF"/>
      </patternFill>
    </fill>
    <fill>
      <patternFill patternType="solid">
        <fgColor rgb="FF7DDDFF"/>
        <bgColor rgb="FF7DDDFF"/>
      </patternFill>
    </fill>
    <fill>
      <patternFill patternType="solid">
        <fgColor rgb="FF7F6000"/>
        <bgColor rgb="FF7F6000"/>
      </patternFill>
    </fill>
    <fill>
      <patternFill patternType="solid">
        <fgColor rgb="FF684D00"/>
        <bgColor rgb="FF684D00"/>
      </patternFill>
    </fill>
    <fill>
      <patternFill patternType="solid">
        <fgColor rgb="FFFFCC29"/>
        <bgColor rgb="FFFFCC29"/>
      </patternFill>
    </fill>
    <fill>
      <patternFill patternType="solid">
        <fgColor rgb="FFF0935A"/>
        <bgColor rgb="FFF0935A"/>
      </patternFill>
    </fill>
    <fill>
      <patternFill patternType="solid">
        <fgColor rgb="FF642F04"/>
        <bgColor rgb="FF642F04"/>
      </patternFill>
    </fill>
    <fill>
      <patternFill patternType="solid">
        <fgColor rgb="FF525252"/>
        <bgColor rgb="FF525252"/>
      </patternFill>
    </fill>
    <fill>
      <patternFill patternType="solid">
        <fgColor rgb="FF3A3838"/>
        <bgColor rgb="FF3A3838"/>
      </patternFill>
    </fill>
    <fill>
      <patternFill patternType="solid">
        <fgColor theme="4" tint="0.79998168889431442"/>
        <bgColor rgb="FF9CC2E5"/>
      </patternFill>
    </fill>
    <fill>
      <patternFill patternType="solid">
        <fgColor theme="4" tint="0.79998168889431442"/>
        <bgColor indexed="64"/>
      </patternFill>
    </fill>
  </fills>
  <borders count="113">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dotted">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dotted">
        <color rgb="FF000000"/>
      </left>
      <right style="dotted">
        <color rgb="FF000000"/>
      </right>
      <top style="thin">
        <color rgb="FF000000"/>
      </top>
      <bottom style="thin">
        <color rgb="FF000000"/>
      </bottom>
      <diagonal/>
    </border>
    <border>
      <left style="dotted">
        <color rgb="FF000000"/>
      </left>
      <right/>
      <top/>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dotted">
        <color rgb="FF000000"/>
      </left>
      <right/>
      <top/>
      <bottom style="thin">
        <color rgb="FF000000"/>
      </bottom>
      <diagonal/>
    </border>
    <border>
      <left/>
      <right style="thick">
        <color rgb="FF000000"/>
      </right>
      <top style="thin">
        <color rgb="FF000000"/>
      </top>
      <bottom style="thin">
        <color rgb="FF000000"/>
      </bottom>
      <diagonal/>
    </border>
    <border>
      <left style="medium">
        <color rgb="FF000000"/>
      </left>
      <right style="dotted">
        <color rgb="FF000000"/>
      </right>
      <top/>
      <bottom style="thin">
        <color rgb="FF000000"/>
      </bottom>
      <diagonal/>
    </border>
    <border>
      <left style="dotted">
        <color rgb="FF000000"/>
      </left>
      <right/>
      <top style="thin">
        <color rgb="FF000000"/>
      </top>
      <bottom style="thin">
        <color rgb="FF000000"/>
      </bottom>
      <diagonal/>
    </border>
    <border>
      <left style="dotted">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ck">
        <color rgb="FF000000"/>
      </bottom>
      <diagonal/>
    </border>
    <border>
      <left style="dotted">
        <color rgb="FF000000"/>
      </left>
      <right/>
      <top style="thick">
        <color rgb="FF000000"/>
      </top>
      <bottom style="thick">
        <color rgb="FF000000"/>
      </bottom>
      <diagonal/>
    </border>
    <border>
      <left style="dotted">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medium">
        <color rgb="FF000000"/>
      </left>
      <right style="dotted">
        <color rgb="FF000000"/>
      </right>
      <top style="thick">
        <color rgb="FF000000"/>
      </top>
      <bottom style="thick">
        <color rgb="FF000000"/>
      </bottom>
      <diagonal/>
    </border>
    <border>
      <left style="dotted">
        <color rgb="FF000000"/>
      </left>
      <right/>
      <top/>
      <bottom style="thick">
        <color rgb="FF000000"/>
      </bottom>
      <diagonal/>
    </border>
    <border>
      <left style="thick">
        <color rgb="FF000000"/>
      </left>
      <right style="dotted">
        <color rgb="FF000000"/>
      </right>
      <top style="thick">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thin">
        <color rgb="FF000000"/>
      </bottom>
      <diagonal/>
    </border>
    <border>
      <left style="thick">
        <color rgb="FF000000"/>
      </left>
      <right style="dotted">
        <color rgb="FF000000"/>
      </right>
      <top/>
      <bottom/>
      <diagonal/>
    </border>
    <border>
      <left style="medium">
        <color rgb="FF000000"/>
      </left>
      <right style="dotted">
        <color rgb="FF000000"/>
      </right>
      <top style="thin">
        <color rgb="FF000000"/>
      </top>
      <bottom/>
      <diagonal/>
    </border>
    <border>
      <left style="medium">
        <color rgb="FF000000"/>
      </left>
      <right/>
      <top/>
      <bottom style="thin">
        <color rgb="FF000000"/>
      </bottom>
      <diagonal/>
    </border>
    <border>
      <left style="dotted">
        <color rgb="FF000000"/>
      </left>
      <right style="dotted">
        <color rgb="FF000000"/>
      </right>
      <top/>
      <bottom style="thin">
        <color rgb="FF000000"/>
      </bottom>
      <diagonal/>
    </border>
    <border>
      <left style="dotted">
        <color rgb="FF000000"/>
      </left>
      <right style="thick">
        <color rgb="FF000000"/>
      </right>
      <top/>
      <bottom/>
      <diagonal/>
    </border>
    <border>
      <left style="thin">
        <color rgb="FF000000"/>
      </left>
      <right style="thick">
        <color rgb="FF000000"/>
      </right>
      <top/>
      <bottom style="thin">
        <color rgb="FF000000"/>
      </bottom>
      <diagonal/>
    </border>
    <border>
      <left style="thick">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style="thick">
        <color rgb="FF000000"/>
      </right>
      <top style="thin">
        <color rgb="FF000000"/>
      </top>
      <bottom style="thin">
        <color rgb="FF000000"/>
      </bottom>
      <diagonal/>
    </border>
    <border>
      <left/>
      <right style="thick">
        <color rgb="FF000000"/>
      </right>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n">
        <color rgb="FF000000"/>
      </top>
      <bottom/>
      <diagonal/>
    </border>
    <border>
      <left style="thick">
        <color rgb="FF000000"/>
      </left>
      <right style="thin">
        <color rgb="FF000000"/>
      </right>
      <top/>
      <bottom style="thin">
        <color rgb="FF000000"/>
      </bottom>
      <diagonal/>
    </border>
    <border>
      <left style="thick">
        <color rgb="FF000000"/>
      </left>
      <right style="thick">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ck">
        <color rgb="FF000000"/>
      </top>
      <bottom style="thin">
        <color rgb="FF000000"/>
      </bottom>
      <diagonal/>
    </border>
    <border>
      <left style="dotted">
        <color rgb="FF000000"/>
      </left>
      <right style="thin">
        <color rgb="FF000000"/>
      </right>
      <top style="thick">
        <color rgb="FF000000"/>
      </top>
      <bottom style="thin">
        <color rgb="FF000000"/>
      </bottom>
      <diagonal/>
    </border>
    <border>
      <left/>
      <right style="thin">
        <color rgb="FF000000"/>
      </right>
      <top/>
      <bottom style="thick">
        <color rgb="FF000000"/>
      </bottom>
      <diagonal/>
    </border>
    <border>
      <left style="thick">
        <color rgb="FF000000"/>
      </left>
      <right style="thin">
        <color rgb="FF000000"/>
      </right>
      <top style="thin">
        <color rgb="FF000000"/>
      </top>
      <bottom/>
      <diagonal/>
    </border>
    <border>
      <left style="double">
        <color rgb="FF000000"/>
      </left>
      <right/>
      <top/>
      <bottom/>
      <diagonal/>
    </border>
    <border>
      <left style="double">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cellStyleXfs>
  <cellXfs count="1012">
    <xf numFmtId="0" fontId="0" fillId="0" borderId="0" xfId="0"/>
    <xf numFmtId="0" fontId="7" fillId="5" borderId="18" xfId="0" applyFont="1" applyFill="1" applyBorder="1" applyAlignment="1">
      <alignment horizontal="center" vertical="center"/>
    </xf>
    <xf numFmtId="0" fontId="1" fillId="9" borderId="29" xfId="0" applyFont="1" applyFill="1" applyBorder="1" applyAlignment="1">
      <alignment horizontal="center" vertical="center"/>
    </xf>
    <xf numFmtId="0" fontId="1" fillId="9" borderId="26" xfId="0" applyFont="1" applyFill="1" applyBorder="1" applyAlignment="1">
      <alignment horizontal="center" vertical="center"/>
    </xf>
    <xf numFmtId="0" fontId="4" fillId="9" borderId="26" xfId="0" applyFont="1" applyFill="1" applyBorder="1"/>
    <xf numFmtId="0" fontId="1" fillId="9" borderId="30" xfId="0" applyFont="1" applyFill="1" applyBorder="1" applyAlignment="1">
      <alignment horizontal="center" vertical="center"/>
    </xf>
    <xf numFmtId="0" fontId="11" fillId="3" borderId="31" xfId="0" applyFont="1" applyFill="1" applyBorder="1" applyAlignment="1">
      <alignment horizontal="left" vertical="center"/>
    </xf>
    <xf numFmtId="0" fontId="11" fillId="3" borderId="18" xfId="0" applyFont="1" applyFill="1" applyBorder="1" applyAlignment="1">
      <alignment horizontal="left" vertical="center"/>
    </xf>
    <xf numFmtId="0" fontId="6" fillId="9" borderId="18" xfId="0" applyFont="1" applyFill="1" applyBorder="1" applyAlignment="1">
      <alignment horizontal="center" vertical="center"/>
    </xf>
    <xf numFmtId="0" fontId="12" fillId="9" borderId="18" xfId="0" applyFont="1" applyFill="1" applyBorder="1" applyAlignment="1">
      <alignment horizontal="center" vertical="center"/>
    </xf>
    <xf numFmtId="0" fontId="4" fillId="2" borderId="18" xfId="0" applyFont="1" applyFill="1" applyBorder="1" applyAlignment="1">
      <alignment horizontal="center" vertical="center"/>
    </xf>
    <xf numFmtId="0" fontId="1" fillId="15" borderId="26" xfId="0" applyFont="1" applyFill="1" applyBorder="1" applyAlignment="1">
      <alignment horizontal="center" vertical="center"/>
    </xf>
    <xf numFmtId="0" fontId="4" fillId="15" borderId="26" xfId="0" applyFont="1" applyFill="1" applyBorder="1"/>
    <xf numFmtId="0" fontId="3" fillId="15" borderId="26" xfId="0" applyFont="1" applyFill="1" applyBorder="1" applyAlignment="1">
      <alignment horizontal="center" vertical="center"/>
    </xf>
    <xf numFmtId="0" fontId="11" fillId="15" borderId="26" xfId="0" applyFont="1" applyFill="1" applyBorder="1" applyAlignment="1">
      <alignment horizontal="left" vertical="center"/>
    </xf>
    <xf numFmtId="0" fontId="5" fillId="15" borderId="26" xfId="0" applyFont="1" applyFill="1" applyBorder="1" applyAlignment="1">
      <alignment horizontal="left" vertical="center"/>
    </xf>
    <xf numFmtId="0" fontId="4" fillId="15" borderId="26" xfId="0" applyFont="1" applyFill="1" applyBorder="1" applyAlignment="1">
      <alignment horizontal="left" vertical="center"/>
    </xf>
    <xf numFmtId="0" fontId="7" fillId="16" borderId="18" xfId="0" applyFont="1" applyFill="1" applyBorder="1" applyAlignment="1">
      <alignment horizontal="center" vertical="center"/>
    </xf>
    <xf numFmtId="0" fontId="11" fillId="15" borderId="33" xfId="0" applyFont="1" applyFill="1" applyBorder="1" applyAlignment="1">
      <alignment horizontal="left" vertical="center"/>
    </xf>
    <xf numFmtId="0" fontId="4" fillId="15" borderId="33" xfId="0" applyFont="1" applyFill="1" applyBorder="1"/>
    <xf numFmtId="0" fontId="1" fillId="17" borderId="18" xfId="0" applyFont="1" applyFill="1" applyBorder="1" applyAlignment="1">
      <alignment horizontal="center" vertical="center"/>
    </xf>
    <xf numFmtId="49" fontId="16" fillId="18" borderId="35" xfId="0" applyNumberFormat="1" applyFont="1" applyFill="1" applyBorder="1" applyAlignment="1">
      <alignment horizontal="center" vertical="center" wrapText="1"/>
    </xf>
    <xf numFmtId="49" fontId="16" fillId="18" borderId="36" xfId="0" applyNumberFormat="1" applyFont="1" applyFill="1" applyBorder="1" applyAlignment="1">
      <alignment horizontal="center" vertical="center" wrapText="1"/>
    </xf>
    <xf numFmtId="49" fontId="16" fillId="17" borderId="35" xfId="0" applyNumberFormat="1" applyFont="1" applyFill="1" applyBorder="1" applyAlignment="1">
      <alignment horizontal="center" vertical="center" wrapText="1"/>
    </xf>
    <xf numFmtId="49" fontId="16" fillId="17" borderId="36" xfId="0" applyNumberFormat="1" applyFont="1" applyFill="1" applyBorder="1" applyAlignment="1">
      <alignment horizontal="center" vertical="center" wrapText="1"/>
    </xf>
    <xf numFmtId="49" fontId="16" fillId="18" borderId="18" xfId="0" applyNumberFormat="1" applyFont="1" applyFill="1" applyBorder="1" applyAlignment="1">
      <alignment horizontal="center" vertical="center" wrapText="1"/>
    </xf>
    <xf numFmtId="49" fontId="16" fillId="17" borderId="18" xfId="0" applyNumberFormat="1" applyFont="1" applyFill="1" applyBorder="1" applyAlignment="1">
      <alignment horizontal="center" vertical="center" wrapText="1"/>
    </xf>
    <xf numFmtId="0" fontId="4" fillId="19" borderId="26" xfId="0" applyFont="1" applyFill="1" applyBorder="1"/>
    <xf numFmtId="49" fontId="18" fillId="18" borderId="35" xfId="0" applyNumberFormat="1" applyFont="1" applyFill="1" applyBorder="1" applyAlignment="1">
      <alignment horizontal="center" vertical="center" wrapText="1"/>
    </xf>
    <xf numFmtId="49" fontId="18" fillId="17" borderId="35" xfId="0" applyNumberFormat="1" applyFont="1" applyFill="1" applyBorder="1" applyAlignment="1">
      <alignment horizontal="center" vertical="center" wrapText="1"/>
    </xf>
    <xf numFmtId="49" fontId="18" fillId="18" borderId="18" xfId="0" applyNumberFormat="1" applyFont="1" applyFill="1" applyBorder="1" applyAlignment="1">
      <alignment horizontal="center" vertical="center" wrapText="1"/>
    </xf>
    <xf numFmtId="49" fontId="18" fillId="17" borderId="18" xfId="0" applyNumberFormat="1" applyFont="1" applyFill="1" applyBorder="1" applyAlignment="1">
      <alignment horizontal="center" vertical="center" wrapText="1"/>
    </xf>
    <xf numFmtId="0" fontId="4" fillId="17" borderId="23" xfId="0" applyFont="1" applyFill="1" applyBorder="1" applyAlignment="1">
      <alignment vertical="center" wrapText="1"/>
    </xf>
    <xf numFmtId="0" fontId="3" fillId="18" borderId="37" xfId="0" applyFont="1" applyFill="1" applyBorder="1" applyAlignment="1">
      <alignment horizontal="center" vertical="center" wrapText="1"/>
    </xf>
    <xf numFmtId="0" fontId="8" fillId="18" borderId="38" xfId="0" applyFont="1" applyFill="1" applyBorder="1" applyAlignment="1">
      <alignment horizontal="left" vertical="center" wrapText="1"/>
    </xf>
    <xf numFmtId="0" fontId="3" fillId="17" borderId="37" xfId="0" applyFont="1" applyFill="1" applyBorder="1" applyAlignment="1">
      <alignment horizontal="center" vertical="center" wrapText="1"/>
    </xf>
    <xf numFmtId="0" fontId="8" fillId="17" borderId="38" xfId="0" applyFont="1" applyFill="1" applyBorder="1" applyAlignment="1">
      <alignment horizontal="left" vertical="center" wrapText="1"/>
    </xf>
    <xf numFmtId="0" fontId="4" fillId="17" borderId="18" xfId="0" applyFont="1" applyFill="1" applyBorder="1" applyAlignment="1">
      <alignment vertical="center" wrapText="1"/>
    </xf>
    <xf numFmtId="0" fontId="3" fillId="18" borderId="35" xfId="0" applyFont="1" applyFill="1" applyBorder="1" applyAlignment="1">
      <alignment horizontal="center" vertical="center" wrapText="1"/>
    </xf>
    <xf numFmtId="0" fontId="8" fillId="18" borderId="36" xfId="0" applyFont="1" applyFill="1" applyBorder="1" applyAlignment="1">
      <alignment horizontal="left" vertical="center" wrapText="1"/>
    </xf>
    <xf numFmtId="0" fontId="3" fillId="17" borderId="35" xfId="0" applyFont="1" applyFill="1" applyBorder="1" applyAlignment="1">
      <alignment horizontal="center" vertical="center" wrapText="1"/>
    </xf>
    <xf numFmtId="0" fontId="8" fillId="17" borderId="36" xfId="0" applyFont="1" applyFill="1" applyBorder="1" applyAlignment="1">
      <alignment horizontal="left" vertical="center" wrapText="1"/>
    </xf>
    <xf numFmtId="0" fontId="4" fillId="17" borderId="18" xfId="0" applyFont="1" applyFill="1" applyBorder="1" applyAlignment="1">
      <alignment horizontal="center" vertical="center"/>
    </xf>
    <xf numFmtId="0" fontId="20" fillId="21" borderId="42" xfId="0" applyFont="1" applyFill="1" applyBorder="1" applyAlignment="1">
      <alignment horizontal="center" vertical="center" wrapText="1"/>
    </xf>
    <xf numFmtId="0" fontId="21" fillId="21" borderId="43" xfId="0" applyFont="1" applyFill="1" applyBorder="1" applyAlignment="1">
      <alignment horizontal="center" vertical="center" wrapText="1"/>
    </xf>
    <xf numFmtId="0" fontId="22" fillId="21" borderId="42" xfId="0" applyFont="1" applyFill="1" applyBorder="1" applyAlignment="1">
      <alignment horizontal="center" vertical="center" wrapText="1"/>
    </xf>
    <xf numFmtId="0" fontId="17" fillId="21" borderId="43" xfId="0" applyFont="1" applyFill="1" applyBorder="1" applyAlignment="1">
      <alignment horizontal="center" vertical="center" wrapText="1"/>
    </xf>
    <xf numFmtId="0" fontId="4" fillId="0" borderId="40" xfId="0" applyFont="1" applyBorder="1" applyAlignment="1">
      <alignment horizontal="center" vertical="center"/>
    </xf>
    <xf numFmtId="14" fontId="4" fillId="0" borderId="18" xfId="0" applyNumberFormat="1" applyFont="1" applyBorder="1"/>
    <xf numFmtId="0" fontId="25" fillId="0" borderId="0" xfId="0" applyFont="1"/>
    <xf numFmtId="0" fontId="4" fillId="0" borderId="18" xfId="0" applyFont="1" applyBorder="1"/>
    <xf numFmtId="0" fontId="22" fillId="3" borderId="26" xfId="0" applyFont="1" applyFill="1" applyBorder="1"/>
    <xf numFmtId="49" fontId="26" fillId="9" borderId="18" xfId="0" applyNumberFormat="1" applyFont="1" applyFill="1" applyBorder="1" applyAlignment="1">
      <alignment vertical="center" wrapText="1"/>
    </xf>
    <xf numFmtId="49" fontId="26" fillId="10" borderId="18" xfId="0" applyNumberFormat="1" applyFont="1" applyFill="1" applyBorder="1" applyAlignment="1">
      <alignment vertical="center" wrapText="1"/>
    </xf>
    <xf numFmtId="49" fontId="6" fillId="27" borderId="18" xfId="0" applyNumberFormat="1" applyFont="1" applyFill="1" applyBorder="1" applyAlignment="1">
      <alignment vertical="center" wrapText="1"/>
    </xf>
    <xf numFmtId="0" fontId="4" fillId="0" borderId="18" xfId="0" applyFont="1" applyBorder="1" applyAlignment="1">
      <alignment horizontal="center" vertical="center"/>
    </xf>
    <xf numFmtId="0" fontId="4" fillId="10" borderId="18" xfId="0" applyFont="1" applyFill="1" applyBorder="1" applyAlignment="1">
      <alignment horizontal="center" vertical="center"/>
    </xf>
    <xf numFmtId="0" fontId="6" fillId="27" borderId="18" xfId="0" applyFont="1" applyFill="1" applyBorder="1" applyAlignment="1">
      <alignment horizontal="center" vertical="center"/>
    </xf>
    <xf numFmtId="49" fontId="26" fillId="14" borderId="18" xfId="0" applyNumberFormat="1" applyFont="1" applyFill="1" applyBorder="1" applyAlignment="1">
      <alignment vertical="center" wrapText="1"/>
    </xf>
    <xf numFmtId="49" fontId="26" fillId="20" borderId="18" xfId="0" applyNumberFormat="1" applyFont="1" applyFill="1" applyBorder="1" applyAlignment="1">
      <alignment vertical="center" wrapText="1"/>
    </xf>
    <xf numFmtId="49" fontId="6" fillId="28" borderId="18" xfId="0" applyNumberFormat="1" applyFont="1" applyFill="1" applyBorder="1" applyAlignment="1">
      <alignment vertical="center" wrapText="1"/>
    </xf>
    <xf numFmtId="0" fontId="4" fillId="20" borderId="18" xfId="0" applyFont="1" applyFill="1" applyBorder="1" applyAlignment="1">
      <alignment horizontal="center" vertical="center"/>
    </xf>
    <xf numFmtId="0" fontId="6" fillId="28" borderId="18" xfId="0" applyFont="1" applyFill="1" applyBorder="1" applyAlignment="1">
      <alignment horizontal="center" vertical="center"/>
    </xf>
    <xf numFmtId="0" fontId="27" fillId="0" borderId="18" xfId="0" applyFont="1" applyBorder="1" applyAlignment="1">
      <alignment vertical="top"/>
    </xf>
    <xf numFmtId="0" fontId="27" fillId="0" borderId="18" xfId="0" applyFont="1" applyBorder="1" applyAlignment="1">
      <alignment horizontal="left" vertical="center"/>
    </xf>
    <xf numFmtId="0" fontId="28" fillId="0" borderId="18" xfId="0" applyFont="1" applyBorder="1" applyAlignment="1">
      <alignment horizontal="left" vertical="center"/>
    </xf>
    <xf numFmtId="0" fontId="28" fillId="0" borderId="0" xfId="0" applyFont="1" applyAlignment="1">
      <alignment vertical="center"/>
    </xf>
    <xf numFmtId="0" fontId="29" fillId="12" borderId="39" xfId="0" applyFont="1" applyFill="1" applyBorder="1" applyAlignment="1">
      <alignment horizontal="center" vertical="center" wrapText="1"/>
    </xf>
    <xf numFmtId="0" fontId="31" fillId="22" borderId="54" xfId="0" applyFont="1" applyFill="1" applyBorder="1" applyAlignment="1">
      <alignment horizontal="center" vertical="center" textRotation="90" wrapText="1"/>
    </xf>
    <xf numFmtId="0" fontId="31" fillId="31" borderId="55" xfId="0" applyFont="1" applyFill="1" applyBorder="1" applyAlignment="1">
      <alignment horizontal="center" vertical="center" textRotation="90" wrapText="1"/>
    </xf>
    <xf numFmtId="0" fontId="31" fillId="31" borderId="53" xfId="0" applyFont="1" applyFill="1" applyBorder="1" applyAlignment="1">
      <alignment horizontal="center" vertical="center" textRotation="90" wrapText="1"/>
    </xf>
    <xf numFmtId="0" fontId="31" fillId="31" borderId="56" xfId="0" applyFont="1" applyFill="1" applyBorder="1" applyAlignment="1">
      <alignment horizontal="center" vertical="center" textRotation="90" wrapText="1"/>
    </xf>
    <xf numFmtId="0" fontId="31" fillId="22" borderId="57" xfId="0" applyFont="1" applyFill="1" applyBorder="1" applyAlignment="1">
      <alignment horizontal="center" vertical="center" textRotation="90" wrapText="1"/>
    </xf>
    <xf numFmtId="0" fontId="31" fillId="22" borderId="58" xfId="0" applyFont="1" applyFill="1" applyBorder="1" applyAlignment="1">
      <alignment horizontal="center" vertical="center" textRotation="90" wrapText="1"/>
    </xf>
    <xf numFmtId="0" fontId="4" fillId="12" borderId="18" xfId="0" applyFont="1" applyFill="1" applyBorder="1" applyAlignment="1">
      <alignment horizontal="center" vertical="center"/>
    </xf>
    <xf numFmtId="0" fontId="19" fillId="12" borderId="18" xfId="0" applyFont="1" applyFill="1" applyBorder="1" applyAlignment="1">
      <alignment horizontal="center"/>
    </xf>
    <xf numFmtId="0" fontId="33" fillId="12" borderId="18" xfId="0" applyFont="1" applyFill="1" applyBorder="1" applyAlignment="1">
      <alignment horizontal="center" vertical="center" wrapText="1"/>
    </xf>
    <xf numFmtId="14" fontId="34" fillId="12" borderId="18" xfId="0" applyNumberFormat="1" applyFont="1" applyFill="1" applyBorder="1" applyAlignment="1">
      <alignment horizontal="center" vertical="center" wrapText="1"/>
    </xf>
    <xf numFmtId="0" fontId="36" fillId="12" borderId="35" xfId="0" applyFont="1" applyFill="1" applyBorder="1" applyAlignment="1">
      <alignment horizontal="center" vertical="center"/>
    </xf>
    <xf numFmtId="0" fontId="35" fillId="22" borderId="60" xfId="0" applyFont="1" applyFill="1" applyBorder="1" applyAlignment="1">
      <alignment vertical="center" wrapText="1"/>
    </xf>
    <xf numFmtId="0" fontId="35" fillId="22" borderId="61" xfId="0" applyFont="1" applyFill="1" applyBorder="1" applyAlignment="1">
      <alignment vertical="center" wrapText="1"/>
    </xf>
    <xf numFmtId="0" fontId="35" fillId="31" borderId="55" xfId="0" applyFont="1" applyFill="1" applyBorder="1" applyAlignment="1">
      <alignment vertical="center" wrapText="1"/>
    </xf>
    <xf numFmtId="0" fontId="35" fillId="31" borderId="61" xfId="0" applyFont="1" applyFill="1" applyBorder="1" applyAlignment="1">
      <alignment vertical="center" wrapText="1"/>
    </xf>
    <xf numFmtId="0" fontId="33" fillId="12" borderId="18" xfId="0" applyFont="1" applyFill="1" applyBorder="1" applyAlignment="1">
      <alignment vertical="center" wrapText="1"/>
    </xf>
    <xf numFmtId="0" fontId="35" fillId="22" borderId="55" xfId="0" applyFont="1" applyFill="1" applyBorder="1" applyAlignment="1">
      <alignment vertical="center" wrapText="1"/>
    </xf>
    <xf numFmtId="0" fontId="39" fillId="22" borderId="55" xfId="0" applyFont="1" applyFill="1" applyBorder="1" applyAlignment="1">
      <alignment vertical="center" wrapText="1"/>
    </xf>
    <xf numFmtId="0" fontId="39" fillId="31" borderId="55" xfId="0" applyFont="1" applyFill="1" applyBorder="1" applyAlignment="1">
      <alignment vertical="center" wrapText="1"/>
    </xf>
    <xf numFmtId="0" fontId="36" fillId="22" borderId="35" xfId="0" applyFont="1" applyFill="1" applyBorder="1" applyAlignment="1">
      <alignment horizontal="center" vertical="center"/>
    </xf>
    <xf numFmtId="0" fontId="36" fillId="31" borderId="35" xfId="0" applyFont="1" applyFill="1" applyBorder="1" applyAlignment="1">
      <alignment horizontal="center" vertical="center"/>
    </xf>
    <xf numFmtId="0" fontId="4" fillId="22" borderId="18" xfId="0" applyFont="1" applyFill="1" applyBorder="1" applyAlignment="1">
      <alignment horizontal="center" vertical="center"/>
    </xf>
    <xf numFmtId="0" fontId="29" fillId="31" borderId="18" xfId="0" applyFont="1" applyFill="1" applyBorder="1" applyAlignment="1">
      <alignment horizontal="center" vertical="center" wrapText="1"/>
    </xf>
    <xf numFmtId="0" fontId="29" fillId="22" borderId="18" xfId="0" applyFont="1" applyFill="1" applyBorder="1" applyAlignment="1">
      <alignment horizontal="center" vertical="center" wrapText="1"/>
    </xf>
    <xf numFmtId="0" fontId="40" fillId="31" borderId="18" xfId="0" applyFont="1" applyFill="1" applyBorder="1" applyAlignment="1">
      <alignment vertical="center" wrapText="1"/>
    </xf>
    <xf numFmtId="0" fontId="4" fillId="22" borderId="18" xfId="0" applyFont="1" applyFill="1" applyBorder="1" applyAlignment="1">
      <alignment vertical="center" wrapText="1"/>
    </xf>
    <xf numFmtId="0" fontId="15" fillId="31" borderId="35" xfId="0" applyFont="1" applyFill="1" applyBorder="1" applyAlignment="1">
      <alignment vertical="center" wrapText="1"/>
    </xf>
    <xf numFmtId="0" fontId="30" fillId="31" borderId="36" xfId="0" applyFont="1" applyFill="1" applyBorder="1" applyAlignment="1">
      <alignment horizontal="center" vertical="center" wrapText="1"/>
    </xf>
    <xf numFmtId="0" fontId="15" fillId="22" borderId="18" xfId="0" quotePrefix="1" applyFont="1" applyFill="1" applyBorder="1" applyAlignment="1">
      <alignment vertical="center" wrapText="1"/>
    </xf>
    <xf numFmtId="0" fontId="4" fillId="4" borderId="18" xfId="0" applyFont="1" applyFill="1" applyBorder="1" applyAlignment="1">
      <alignment horizontal="left" vertical="center"/>
    </xf>
    <xf numFmtId="0" fontId="4" fillId="23" borderId="29" xfId="0" applyFont="1" applyFill="1" applyBorder="1" applyAlignment="1">
      <alignment horizontal="left" vertical="center"/>
    </xf>
    <xf numFmtId="0" fontId="4" fillId="23" borderId="26" xfId="0" applyFont="1" applyFill="1" applyBorder="1" applyAlignment="1">
      <alignment horizontal="left" vertical="center"/>
    </xf>
    <xf numFmtId="0" fontId="4" fillId="4" borderId="39" xfId="0" applyFont="1" applyFill="1" applyBorder="1" applyAlignment="1">
      <alignment horizontal="left" vertical="center"/>
    </xf>
    <xf numFmtId="0" fontId="4" fillId="22" borderId="23" xfId="0" applyFont="1" applyFill="1" applyBorder="1" applyAlignment="1">
      <alignment horizontal="center" vertical="center"/>
    </xf>
    <xf numFmtId="0" fontId="29" fillId="31" borderId="23" xfId="0" applyFont="1" applyFill="1" applyBorder="1" applyAlignment="1">
      <alignment horizontal="center" vertical="center" wrapText="1"/>
    </xf>
    <xf numFmtId="0" fontId="29" fillId="22" borderId="23" xfId="0" applyFont="1" applyFill="1" applyBorder="1" applyAlignment="1">
      <alignment horizontal="center" vertical="center" wrapText="1"/>
    </xf>
    <xf numFmtId="0" fontId="35" fillId="31" borderId="23" xfId="0" applyFont="1" applyFill="1" applyBorder="1" applyAlignment="1">
      <alignment vertical="center" wrapText="1"/>
    </xf>
    <xf numFmtId="0" fontId="4" fillId="22" borderId="23" xfId="0" applyFont="1" applyFill="1" applyBorder="1" applyAlignment="1">
      <alignment vertical="center" wrapText="1"/>
    </xf>
    <xf numFmtId="0" fontId="15" fillId="31" borderId="23" xfId="0" applyFont="1" applyFill="1" applyBorder="1" applyAlignment="1">
      <alignment vertical="center" wrapText="1"/>
    </xf>
    <xf numFmtId="0" fontId="30" fillId="31" borderId="23" xfId="0" applyFont="1" applyFill="1" applyBorder="1" applyAlignment="1">
      <alignment horizontal="center" vertical="center" wrapText="1"/>
    </xf>
    <xf numFmtId="0" fontId="15" fillId="22" borderId="23" xfId="0" quotePrefix="1" applyFont="1" applyFill="1" applyBorder="1" applyAlignment="1">
      <alignment vertical="center" wrapText="1"/>
    </xf>
    <xf numFmtId="0" fontId="19" fillId="22" borderId="18" xfId="0" applyFont="1" applyFill="1" applyBorder="1" applyAlignment="1">
      <alignment horizontal="center"/>
    </xf>
    <xf numFmtId="0" fontId="34" fillId="31" borderId="18" xfId="0" applyFont="1" applyFill="1" applyBorder="1" applyAlignment="1">
      <alignment horizontal="center" vertical="center" wrapText="1"/>
    </xf>
    <xf numFmtId="0" fontId="34" fillId="22" borderId="18" xfId="0" applyFont="1" applyFill="1" applyBorder="1" applyAlignment="1">
      <alignment horizontal="center" vertical="center" wrapText="1"/>
    </xf>
    <xf numFmtId="14" fontId="34" fillId="31" borderId="18" xfId="0" applyNumberFormat="1" applyFont="1" applyFill="1" applyBorder="1" applyAlignment="1">
      <alignment horizontal="center" vertical="center" wrapText="1"/>
    </xf>
    <xf numFmtId="14" fontId="34" fillId="22" borderId="18" xfId="0" applyNumberFormat="1" applyFont="1" applyFill="1" applyBorder="1" applyAlignment="1">
      <alignment horizontal="center" vertical="center" wrapText="1"/>
    </xf>
    <xf numFmtId="41" fontId="41" fillId="31" borderId="18" xfId="0" applyNumberFormat="1" applyFont="1" applyFill="1" applyBorder="1" applyAlignment="1">
      <alignment horizontal="center" vertical="center" wrapText="1"/>
    </xf>
    <xf numFmtId="0" fontId="4" fillId="22" borderId="18" xfId="0" applyFont="1" applyFill="1" applyBorder="1"/>
    <xf numFmtId="0" fontId="30" fillId="31" borderId="36" xfId="0" applyFont="1" applyFill="1" applyBorder="1" applyAlignment="1">
      <alignment vertical="center" wrapText="1"/>
    </xf>
    <xf numFmtId="0" fontId="36" fillId="22" borderId="18" xfId="0" applyFont="1" applyFill="1" applyBorder="1" applyAlignment="1">
      <alignment horizontal="center" vertical="center"/>
    </xf>
    <xf numFmtId="0" fontId="19" fillId="31" borderId="36" xfId="0" applyFont="1" applyFill="1" applyBorder="1" applyAlignment="1">
      <alignment vertical="center" wrapText="1"/>
    </xf>
    <xf numFmtId="0" fontId="35" fillId="22" borderId="18" xfId="0" applyFont="1" applyFill="1" applyBorder="1" applyAlignment="1">
      <alignment vertical="center" wrapText="1"/>
    </xf>
    <xf numFmtId="0" fontId="35" fillId="31" borderId="36" xfId="0" applyFont="1" applyFill="1" applyBorder="1" applyAlignment="1">
      <alignment vertical="center" wrapText="1"/>
    </xf>
    <xf numFmtId="0" fontId="39" fillId="22" borderId="18" xfId="0" applyFont="1" applyFill="1" applyBorder="1" applyAlignment="1">
      <alignment vertical="center" wrapText="1"/>
    </xf>
    <xf numFmtId="0" fontId="19" fillId="0" borderId="0" xfId="0" applyFont="1" applyAlignment="1">
      <alignment horizontal="center"/>
    </xf>
    <xf numFmtId="0" fontId="15" fillId="0" borderId="0" xfId="0" applyFont="1" applyAlignment="1">
      <alignment vertical="center" wrapText="1"/>
    </xf>
    <xf numFmtId="0" fontId="29" fillId="31" borderId="39" xfId="0" applyFont="1" applyFill="1" applyBorder="1" applyAlignment="1">
      <alignment horizontal="center" vertical="center" wrapText="1"/>
    </xf>
    <xf numFmtId="0" fontId="29" fillId="22" borderId="39" xfId="0" applyFont="1" applyFill="1" applyBorder="1" applyAlignment="1">
      <alignment horizontal="center" vertical="center" wrapText="1"/>
    </xf>
    <xf numFmtId="0" fontId="42" fillId="23" borderId="18" xfId="0" applyFont="1" applyFill="1" applyBorder="1" applyAlignment="1">
      <alignment vertical="center" wrapText="1"/>
    </xf>
    <xf numFmtId="0" fontId="43" fillId="34" borderId="18" xfId="0" applyFont="1" applyFill="1" applyBorder="1" applyAlignment="1">
      <alignment horizontal="center" vertical="center" wrapText="1"/>
    </xf>
    <xf numFmtId="0" fontId="15" fillId="35" borderId="18" xfId="0" applyFont="1" applyFill="1" applyBorder="1" applyAlignment="1">
      <alignment horizontal="center" vertical="center" wrapText="1"/>
    </xf>
    <xf numFmtId="0" fontId="15" fillId="36" borderId="18" xfId="0" applyFont="1" applyFill="1" applyBorder="1" applyAlignment="1">
      <alignment horizontal="center" vertical="center" wrapText="1"/>
    </xf>
    <xf numFmtId="0" fontId="15" fillId="35" borderId="35" xfId="0" applyFont="1" applyFill="1" applyBorder="1" applyAlignment="1">
      <alignment horizontal="center" vertical="center" wrapText="1"/>
    </xf>
    <xf numFmtId="0" fontId="30" fillId="35" borderId="36" xfId="0" applyFont="1" applyFill="1" applyBorder="1" applyAlignment="1">
      <alignment horizontal="center" vertical="center" wrapText="1"/>
    </xf>
    <xf numFmtId="0" fontId="44" fillId="19" borderId="18" xfId="0"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8" borderId="52" xfId="0" applyFont="1" applyFill="1" applyBorder="1" applyAlignment="1">
      <alignment horizontal="center" vertical="center" wrapText="1"/>
    </xf>
    <xf numFmtId="0" fontId="30" fillId="18" borderId="62" xfId="0" applyFont="1" applyFill="1" applyBorder="1" applyAlignment="1">
      <alignment horizontal="center" vertical="center" wrapText="1"/>
    </xf>
    <xf numFmtId="0" fontId="42" fillId="23" borderId="18" xfId="0" applyFont="1" applyFill="1" applyBorder="1" applyAlignment="1">
      <alignment horizontal="center" vertical="center" wrapText="1"/>
    </xf>
    <xf numFmtId="0" fontId="45" fillId="37" borderId="39" xfId="0"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27" borderId="39" xfId="0" applyFont="1" applyFill="1" applyBorder="1" applyAlignment="1">
      <alignment horizontal="center" vertical="center" wrapText="1"/>
    </xf>
    <xf numFmtId="0" fontId="15" fillId="9" borderId="52" xfId="0" applyFont="1" applyFill="1" applyBorder="1" applyAlignment="1">
      <alignment horizontal="center" vertical="center" wrapText="1"/>
    </xf>
    <xf numFmtId="0" fontId="30" fillId="9" borderId="62" xfId="0" applyFont="1" applyFill="1" applyBorder="1" applyAlignment="1">
      <alignment horizontal="center" vertical="center" wrapText="1"/>
    </xf>
    <xf numFmtId="0" fontId="46" fillId="38" borderId="39" xfId="0" applyFont="1" applyFill="1" applyBorder="1" applyAlignment="1">
      <alignment horizontal="center" vertical="center" wrapText="1"/>
    </xf>
    <xf numFmtId="0" fontId="15" fillId="12" borderId="39"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12" borderId="52" xfId="0" applyFont="1" applyFill="1" applyBorder="1" applyAlignment="1">
      <alignment horizontal="center" vertical="center" wrapText="1"/>
    </xf>
    <xf numFmtId="0" fontId="30" fillId="12" borderId="62" xfId="0" applyFont="1" applyFill="1" applyBorder="1" applyAlignment="1">
      <alignment horizontal="center" vertical="center" wrapText="1"/>
    </xf>
    <xf numFmtId="0" fontId="47" fillId="39" borderId="39" xfId="0" applyFont="1" applyFill="1" applyBorder="1" applyAlignment="1">
      <alignment horizontal="center" vertical="center" wrapText="1"/>
    </xf>
    <xf numFmtId="0" fontId="15" fillId="40" borderId="39" xfId="0" applyFont="1" applyFill="1" applyBorder="1" applyAlignment="1">
      <alignment horizontal="center" vertical="center" wrapText="1"/>
    </xf>
    <xf numFmtId="0" fontId="15" fillId="41" borderId="39" xfId="0" applyFont="1" applyFill="1" applyBorder="1" applyAlignment="1">
      <alignment horizontal="center" vertical="center" wrapText="1"/>
    </xf>
    <xf numFmtId="0" fontId="15" fillId="40" borderId="52" xfId="0" applyFont="1" applyFill="1" applyBorder="1" applyAlignment="1">
      <alignment horizontal="center" vertical="center" wrapText="1"/>
    </xf>
    <xf numFmtId="0" fontId="30" fillId="40" borderId="62" xfId="0" applyFont="1" applyFill="1" applyBorder="1" applyAlignment="1">
      <alignment horizontal="center" vertical="center" wrapText="1"/>
    </xf>
    <xf numFmtId="0" fontId="19" fillId="42" borderId="39" xfId="0" applyFont="1" applyFill="1" applyBorder="1" applyAlignment="1">
      <alignment horizontal="center" vertical="center" wrapText="1"/>
    </xf>
    <xf numFmtId="0" fontId="19" fillId="43" borderId="39" xfId="0" applyFont="1" applyFill="1" applyBorder="1" applyAlignment="1">
      <alignment horizontal="center" vertical="center" wrapText="1"/>
    </xf>
    <xf numFmtId="0" fontId="19" fillId="43" borderId="52" xfId="0" applyFont="1" applyFill="1" applyBorder="1" applyAlignment="1">
      <alignment horizontal="center" vertical="center" wrapText="1"/>
    </xf>
    <xf numFmtId="0" fontId="30" fillId="43" borderId="62" xfId="0" applyFont="1" applyFill="1" applyBorder="1" applyAlignment="1">
      <alignment horizontal="center" vertical="center" wrapText="1"/>
    </xf>
    <xf numFmtId="0" fontId="29" fillId="42" borderId="39" xfId="0" applyFont="1" applyFill="1" applyBorder="1" applyAlignment="1">
      <alignment horizontal="center" vertical="center" wrapText="1"/>
    </xf>
    <xf numFmtId="0" fontId="42" fillId="23" borderId="39" xfId="0" applyFont="1" applyFill="1" applyBorder="1" applyAlignment="1">
      <alignment horizontal="center" vertical="center" wrapText="1"/>
    </xf>
    <xf numFmtId="0" fontId="1" fillId="23" borderId="52" xfId="0" applyFont="1" applyFill="1" applyBorder="1" applyAlignment="1">
      <alignment horizontal="center" vertical="center"/>
    </xf>
    <xf numFmtId="0" fontId="1" fillId="23" borderId="63" xfId="0" applyFont="1" applyFill="1" applyBorder="1" applyAlignment="1">
      <alignment horizontal="center" vertical="center"/>
    </xf>
    <xf numFmtId="0" fontId="4" fillId="23" borderId="63" xfId="0" applyFont="1" applyFill="1" applyBorder="1"/>
    <xf numFmtId="0" fontId="1" fillId="23" borderId="29" xfId="0" applyFont="1" applyFill="1" applyBorder="1" applyAlignment="1">
      <alignment horizontal="center" vertical="center"/>
    </xf>
    <xf numFmtId="0" fontId="1" fillId="23" borderId="26" xfId="0" applyFont="1" applyFill="1" applyBorder="1" applyAlignment="1">
      <alignment horizontal="center" vertical="center"/>
    </xf>
    <xf numFmtId="0" fontId="4" fillId="23" borderId="26" xfId="0" applyFont="1" applyFill="1" applyBorder="1"/>
    <xf numFmtId="0" fontId="3" fillId="23" borderId="29" xfId="0" applyFont="1" applyFill="1" applyBorder="1" applyAlignment="1">
      <alignment horizontal="center" vertical="center"/>
    </xf>
    <xf numFmtId="0" fontId="3" fillId="23" borderId="26" xfId="0" applyFont="1" applyFill="1" applyBorder="1" applyAlignment="1">
      <alignment horizontal="center" vertical="center"/>
    </xf>
    <xf numFmtId="0" fontId="11" fillId="23" borderId="29" xfId="0" applyFont="1" applyFill="1" applyBorder="1" applyAlignment="1">
      <alignment horizontal="left" vertical="center"/>
    </xf>
    <xf numFmtId="0" fontId="11" fillId="23" borderId="26" xfId="0" applyFont="1" applyFill="1" applyBorder="1" applyAlignment="1">
      <alignment horizontal="left" vertical="center"/>
    </xf>
    <xf numFmtId="0" fontId="11" fillId="23" borderId="37" xfId="0" applyFont="1" applyFill="1" applyBorder="1" applyAlignment="1">
      <alignment horizontal="left" vertical="center"/>
    </xf>
    <xf numFmtId="0" fontId="11" fillId="23" borderId="33" xfId="0" applyFont="1" applyFill="1" applyBorder="1" applyAlignment="1">
      <alignment horizontal="left" vertical="center"/>
    </xf>
    <xf numFmtId="0" fontId="4" fillId="23" borderId="33" xfId="0" applyFont="1" applyFill="1" applyBorder="1"/>
    <xf numFmtId="0" fontId="15" fillId="18" borderId="37" xfId="0" applyFont="1" applyFill="1" applyBorder="1" applyAlignment="1">
      <alignment horizontal="center" vertical="center" wrapText="1"/>
    </xf>
    <xf numFmtId="0" fontId="30" fillId="18" borderId="38" xfId="0" applyFont="1" applyFill="1" applyBorder="1" applyAlignment="1">
      <alignment horizontal="center" vertical="center" wrapText="1"/>
    </xf>
    <xf numFmtId="0" fontId="45" fillId="37" borderId="23"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15" fillId="27" borderId="23" xfId="0" applyFont="1" applyFill="1" applyBorder="1" applyAlignment="1">
      <alignment horizontal="center" vertical="center" wrapText="1"/>
    </xf>
    <xf numFmtId="0" fontId="15" fillId="9" borderId="37" xfId="0" applyFont="1" applyFill="1" applyBorder="1" applyAlignment="1">
      <alignment horizontal="center" vertical="center" wrapText="1"/>
    </xf>
    <xf numFmtId="0" fontId="30" fillId="9" borderId="38" xfId="0" applyFont="1" applyFill="1" applyBorder="1" applyAlignment="1">
      <alignment horizontal="center" vertical="center" wrapText="1"/>
    </xf>
    <xf numFmtId="0" fontId="46" fillId="38" borderId="23" xfId="0" applyFont="1" applyFill="1" applyBorder="1" applyAlignment="1">
      <alignment horizontal="center" vertical="center" wrapText="1"/>
    </xf>
    <xf numFmtId="0" fontId="15" fillId="12" borderId="2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12" borderId="37" xfId="0" applyFont="1" applyFill="1" applyBorder="1" applyAlignment="1">
      <alignment horizontal="center" vertical="center" wrapText="1"/>
    </xf>
    <xf numFmtId="0" fontId="30" fillId="12" borderId="38" xfId="0" applyFont="1" applyFill="1" applyBorder="1" applyAlignment="1">
      <alignment horizontal="center" vertical="center" wrapText="1"/>
    </xf>
    <xf numFmtId="0" fontId="47" fillId="39" borderId="23" xfId="0" applyFont="1" applyFill="1" applyBorder="1" applyAlignment="1">
      <alignment horizontal="center" vertical="center" wrapText="1"/>
    </xf>
    <xf numFmtId="0" fontId="15" fillId="40" borderId="23" xfId="0" applyFont="1" applyFill="1" applyBorder="1" applyAlignment="1">
      <alignment horizontal="center" vertical="center" wrapText="1"/>
    </xf>
    <xf numFmtId="0" fontId="15" fillId="41" borderId="23" xfId="0" applyFont="1" applyFill="1" applyBorder="1" applyAlignment="1">
      <alignment horizontal="center" vertical="center" wrapText="1"/>
    </xf>
    <xf numFmtId="0" fontId="15" fillId="40" borderId="37" xfId="0" applyFont="1" applyFill="1" applyBorder="1" applyAlignment="1">
      <alignment horizontal="center" vertical="center" wrapText="1"/>
    </xf>
    <xf numFmtId="0" fontId="30" fillId="40" borderId="38" xfId="0" applyFont="1" applyFill="1" applyBorder="1" applyAlignment="1">
      <alignment horizontal="center" vertical="center" wrapText="1"/>
    </xf>
    <xf numFmtId="0" fontId="19" fillId="42" borderId="23" xfId="0" applyFont="1" applyFill="1" applyBorder="1" applyAlignment="1">
      <alignment horizontal="center" vertical="center" wrapText="1"/>
    </xf>
    <xf numFmtId="0" fontId="19" fillId="43" borderId="23" xfId="0" applyFont="1" applyFill="1" applyBorder="1" applyAlignment="1">
      <alignment horizontal="center" vertical="center" wrapText="1"/>
    </xf>
    <xf numFmtId="0" fontId="19" fillId="43" borderId="37" xfId="0" applyFont="1" applyFill="1" applyBorder="1" applyAlignment="1">
      <alignment horizontal="center" vertical="center" wrapText="1"/>
    </xf>
    <xf numFmtId="0" fontId="30" fillId="43" borderId="38" xfId="0" applyFont="1" applyFill="1" applyBorder="1" applyAlignment="1">
      <alignment horizontal="center" vertical="center" wrapText="1"/>
    </xf>
    <xf numFmtId="0" fontId="29" fillId="42" borderId="23" xfId="0" applyFont="1" applyFill="1" applyBorder="1" applyAlignment="1">
      <alignment horizontal="center" vertical="center" wrapText="1"/>
    </xf>
    <xf numFmtId="0" fontId="42" fillId="23" borderId="23" xfId="0" applyFont="1" applyFill="1" applyBorder="1" applyAlignment="1">
      <alignment horizontal="center" vertical="center" wrapText="1"/>
    </xf>
    <xf numFmtId="0" fontId="19" fillId="22" borderId="18" xfId="0" applyFont="1" applyFill="1" applyBorder="1" applyAlignment="1">
      <alignment horizontal="center" vertical="center"/>
    </xf>
    <xf numFmtId="0" fontId="22" fillId="23" borderId="18" xfId="0" applyFont="1" applyFill="1" applyBorder="1" applyAlignment="1">
      <alignment horizontal="center" vertical="center"/>
    </xf>
    <xf numFmtId="14" fontId="48" fillId="34" borderId="18" xfId="0" applyNumberFormat="1" applyFont="1" applyFill="1" applyBorder="1" applyAlignment="1">
      <alignment horizontal="center" vertical="center"/>
    </xf>
    <xf numFmtId="0" fontId="36" fillId="35" borderId="18" xfId="0" applyFont="1" applyFill="1" applyBorder="1" applyAlignment="1">
      <alignment horizontal="center" vertical="center"/>
    </xf>
    <xf numFmtId="0" fontId="36" fillId="36" borderId="18" xfId="0" applyFont="1" applyFill="1" applyBorder="1" applyAlignment="1">
      <alignment horizontal="center" vertical="center"/>
    </xf>
    <xf numFmtId="0" fontId="36" fillId="35" borderId="35" xfId="0" applyFont="1" applyFill="1" applyBorder="1" applyAlignment="1">
      <alignment horizontal="center" vertical="center"/>
    </xf>
    <xf numFmtId="0" fontId="5" fillId="35" borderId="36" xfId="0" applyFont="1" applyFill="1" applyBorder="1" applyAlignment="1">
      <alignment horizontal="left" vertical="center"/>
    </xf>
    <xf numFmtId="14" fontId="49" fillId="19" borderId="18" xfId="0" applyNumberFormat="1" applyFont="1" applyFill="1" applyBorder="1" applyAlignment="1">
      <alignment horizontal="center" vertical="center"/>
    </xf>
    <xf numFmtId="0" fontId="36" fillId="18" borderId="18" xfId="0" applyFont="1" applyFill="1" applyBorder="1" applyAlignment="1">
      <alignment horizontal="center" vertical="center"/>
    </xf>
    <xf numFmtId="0" fontId="36" fillId="17" borderId="18" xfId="0" applyFont="1" applyFill="1" applyBorder="1" applyAlignment="1">
      <alignment horizontal="center" vertical="center"/>
    </xf>
    <xf numFmtId="0" fontId="36" fillId="18" borderId="35" xfId="0" applyFont="1" applyFill="1" applyBorder="1" applyAlignment="1">
      <alignment horizontal="center" vertical="center"/>
    </xf>
    <xf numFmtId="0" fontId="5" fillId="18" borderId="36" xfId="0" applyFont="1" applyFill="1" applyBorder="1" applyAlignment="1">
      <alignment horizontal="left" vertical="center"/>
    </xf>
    <xf numFmtId="14" fontId="50" fillId="37" borderId="18" xfId="0" applyNumberFormat="1" applyFont="1" applyFill="1" applyBorder="1" applyAlignment="1">
      <alignment horizontal="center" vertical="center"/>
    </xf>
    <xf numFmtId="0" fontId="36" fillId="9" borderId="18" xfId="0" applyFont="1" applyFill="1" applyBorder="1" applyAlignment="1">
      <alignment horizontal="center" vertical="center"/>
    </xf>
    <xf numFmtId="0" fontId="36" fillId="27" borderId="18" xfId="0" applyFont="1" applyFill="1" applyBorder="1" applyAlignment="1">
      <alignment horizontal="center" vertical="center"/>
    </xf>
    <xf numFmtId="0" fontId="36" fillId="9" borderId="35" xfId="0" applyFont="1" applyFill="1" applyBorder="1" applyAlignment="1">
      <alignment horizontal="center" vertical="center"/>
    </xf>
    <xf numFmtId="0" fontId="5" fillId="9" borderId="36" xfId="0" applyFont="1" applyFill="1" applyBorder="1" applyAlignment="1">
      <alignment horizontal="left" vertical="center"/>
    </xf>
    <xf numFmtId="14" fontId="51" fillId="38" borderId="18" xfId="0" applyNumberFormat="1" applyFont="1" applyFill="1" applyBorder="1" applyAlignment="1">
      <alignment horizontal="center" vertical="center"/>
    </xf>
    <xf numFmtId="0" fontId="36" fillId="12" borderId="18" xfId="0" applyFont="1" applyFill="1" applyBorder="1" applyAlignment="1">
      <alignment horizontal="center" vertical="center"/>
    </xf>
    <xf numFmtId="0" fontId="36" fillId="2" borderId="18" xfId="0" applyFont="1" applyFill="1" applyBorder="1" applyAlignment="1">
      <alignment horizontal="center" vertical="center"/>
    </xf>
    <xf numFmtId="0" fontId="5" fillId="12" borderId="36" xfId="0" applyFont="1" applyFill="1" applyBorder="1" applyAlignment="1">
      <alignment horizontal="left" vertical="center"/>
    </xf>
    <xf numFmtId="14" fontId="52" fillId="39" borderId="18" xfId="0" applyNumberFormat="1" applyFont="1" applyFill="1" applyBorder="1" applyAlignment="1">
      <alignment horizontal="center" vertical="center"/>
    </xf>
    <xf numFmtId="0" fontId="36" fillId="41" borderId="18" xfId="0" applyFont="1" applyFill="1" applyBorder="1" applyAlignment="1">
      <alignment horizontal="center" vertical="center"/>
    </xf>
    <xf numFmtId="0" fontId="5" fillId="40" borderId="36" xfId="0" applyFont="1" applyFill="1" applyBorder="1" applyAlignment="1">
      <alignment horizontal="left" vertical="center"/>
    </xf>
    <xf numFmtId="14" fontId="4" fillId="42" borderId="18" xfId="0" applyNumberFormat="1" applyFont="1" applyFill="1" applyBorder="1" applyAlignment="1">
      <alignment horizontal="center" vertical="center"/>
    </xf>
    <xf numFmtId="0" fontId="36" fillId="43" borderId="18" xfId="0" applyFont="1" applyFill="1" applyBorder="1" applyAlignment="1">
      <alignment horizontal="center" vertical="center"/>
    </xf>
    <xf numFmtId="0" fontId="36" fillId="42" borderId="18" xfId="0" applyFont="1" applyFill="1" applyBorder="1" applyAlignment="1">
      <alignment horizontal="center" vertical="center"/>
    </xf>
    <xf numFmtId="0" fontId="36" fillId="43" borderId="35" xfId="0" applyFont="1" applyFill="1" applyBorder="1" applyAlignment="1">
      <alignment horizontal="center" vertical="center"/>
    </xf>
    <xf numFmtId="0" fontId="5" fillId="43" borderId="36" xfId="0" applyFont="1" applyFill="1" applyBorder="1" applyAlignment="1">
      <alignment horizontal="left" vertical="center"/>
    </xf>
    <xf numFmtId="0" fontId="34" fillId="42" borderId="18" xfId="0" applyFont="1" applyFill="1" applyBorder="1" applyAlignment="1">
      <alignment horizontal="center" vertical="center"/>
    </xf>
    <xf numFmtId="0" fontId="15" fillId="31" borderId="18" xfId="0" applyFont="1" applyFill="1" applyBorder="1" applyAlignment="1">
      <alignment horizontal="center" vertical="center" wrapText="1"/>
    </xf>
    <xf numFmtId="0" fontId="30" fillId="31" borderId="18" xfId="0" applyFont="1" applyFill="1" applyBorder="1" applyAlignment="1">
      <alignment horizontal="center" vertical="center" wrapText="1"/>
    </xf>
    <xf numFmtId="0" fontId="53" fillId="18" borderId="35" xfId="0" applyFont="1" applyFill="1" applyBorder="1" applyAlignment="1">
      <alignment vertical="center" wrapText="1"/>
    </xf>
    <xf numFmtId="0" fontId="5" fillId="17" borderId="35" xfId="0" applyFont="1" applyFill="1" applyBorder="1" applyAlignment="1">
      <alignment vertical="center" wrapText="1"/>
    </xf>
    <xf numFmtId="0" fontId="54" fillId="18" borderId="35" xfId="0" applyFont="1" applyFill="1" applyBorder="1" applyAlignment="1">
      <alignment vertical="center" wrapText="1"/>
    </xf>
    <xf numFmtId="0" fontId="53" fillId="18" borderId="35" xfId="0" applyFont="1" applyFill="1" applyBorder="1" applyAlignment="1">
      <alignment horizontal="center" vertical="center" wrapText="1"/>
    </xf>
    <xf numFmtId="0" fontId="5" fillId="44" borderId="35" xfId="0" applyFont="1" applyFill="1" applyBorder="1" applyAlignment="1">
      <alignment vertical="center" wrapText="1"/>
    </xf>
    <xf numFmtId="0" fontId="5" fillId="18" borderId="18" xfId="0" applyFont="1" applyFill="1" applyBorder="1" applyAlignment="1">
      <alignment horizontal="center" vertical="center" wrapText="1"/>
    </xf>
    <xf numFmtId="0" fontId="5" fillId="17" borderId="18" xfId="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5" fillId="18" borderId="63"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5" fillId="18" borderId="36" xfId="0" applyFont="1" applyFill="1" applyBorder="1" applyAlignment="1">
      <alignment horizontal="left" vertical="center" wrapText="1"/>
    </xf>
    <xf numFmtId="0" fontId="5" fillId="0" borderId="13" xfId="0" applyFont="1" applyBorder="1" applyAlignment="1">
      <alignment horizontal="left" vertical="center" wrapText="1"/>
    </xf>
    <xf numFmtId="0" fontId="5" fillId="45" borderId="64" xfId="0" applyFont="1" applyFill="1" applyBorder="1" applyAlignment="1">
      <alignment horizontal="left" vertical="center" wrapText="1"/>
    </xf>
    <xf numFmtId="0" fontId="5" fillId="45" borderId="31" xfId="0" applyFont="1" applyFill="1" applyBorder="1" applyAlignment="1">
      <alignment vertical="center" wrapText="1"/>
    </xf>
    <xf numFmtId="0" fontId="53" fillId="45" borderId="64" xfId="0" applyFont="1" applyFill="1" applyBorder="1" applyAlignment="1">
      <alignment horizontal="center" vertical="center" wrapText="1"/>
    </xf>
    <xf numFmtId="0" fontId="53" fillId="45" borderId="31" xfId="0" applyFont="1" applyFill="1" applyBorder="1" applyAlignment="1">
      <alignment horizontal="center" vertical="center" wrapText="1"/>
    </xf>
    <xf numFmtId="0" fontId="5" fillId="44" borderId="64" xfId="0" applyFont="1" applyFill="1" applyBorder="1" applyAlignment="1">
      <alignment vertical="center" wrapText="1"/>
    </xf>
    <xf numFmtId="0" fontId="5" fillId="44" borderId="31" xfId="0" applyFont="1" applyFill="1" applyBorder="1" applyAlignment="1">
      <alignment vertical="center" wrapText="1"/>
    </xf>
    <xf numFmtId="0" fontId="5" fillId="44" borderId="64"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6" fillId="23" borderId="26" xfId="0" applyFont="1" applyFill="1" applyBorder="1" applyAlignment="1">
      <alignment horizontal="left" vertical="center"/>
    </xf>
    <xf numFmtId="0" fontId="4" fillId="23" borderId="37" xfId="0" applyFont="1" applyFill="1" applyBorder="1" applyAlignment="1">
      <alignment horizontal="left" vertical="center"/>
    </xf>
    <xf numFmtId="0" fontId="4" fillId="23" borderId="33" xfId="0" applyFont="1" applyFill="1" applyBorder="1" applyAlignment="1">
      <alignment horizontal="left" vertical="center"/>
    </xf>
    <xf numFmtId="0" fontId="11" fillId="23" borderId="64" xfId="0" applyFont="1" applyFill="1" applyBorder="1" applyAlignment="1">
      <alignment horizontal="left" vertical="center"/>
    </xf>
    <xf numFmtId="0" fontId="11" fillId="23" borderId="65" xfId="0" applyFont="1" applyFill="1" applyBorder="1" applyAlignment="1">
      <alignment horizontal="left" vertical="center"/>
    </xf>
    <xf numFmtId="0" fontId="29" fillId="31" borderId="51" xfId="0" applyFont="1" applyFill="1" applyBorder="1" applyAlignment="1">
      <alignment horizontal="center" vertical="center" wrapText="1"/>
    </xf>
    <xf numFmtId="0" fontId="29" fillId="22" borderId="51" xfId="0" applyFont="1" applyFill="1" applyBorder="1" applyAlignment="1">
      <alignment horizontal="center" vertical="center" wrapText="1"/>
    </xf>
    <xf numFmtId="0" fontId="35" fillId="0" borderId="16" xfId="0" applyFont="1" applyBorder="1" applyAlignment="1">
      <alignment vertical="center" wrapText="1"/>
    </xf>
    <xf numFmtId="0" fontId="55" fillId="46" borderId="66" xfId="0" applyFont="1" applyFill="1" applyBorder="1" applyAlignment="1">
      <alignment vertical="center" textRotation="90" wrapText="1"/>
    </xf>
    <xf numFmtId="0" fontId="4" fillId="47" borderId="67" xfId="0" applyFont="1" applyFill="1" applyBorder="1" applyAlignment="1">
      <alignment vertical="center" wrapText="1"/>
    </xf>
    <xf numFmtId="0" fontId="31" fillId="46" borderId="67" xfId="0" applyFont="1" applyFill="1" applyBorder="1" applyAlignment="1">
      <alignment horizontal="center" vertical="center" wrapText="1"/>
    </xf>
    <xf numFmtId="0" fontId="16" fillId="47" borderId="68" xfId="0" applyFont="1" applyFill="1" applyBorder="1" applyAlignment="1">
      <alignment horizontal="center" vertical="center" wrapText="1"/>
    </xf>
    <xf numFmtId="0" fontId="16" fillId="0" borderId="0" xfId="0" applyFont="1" applyAlignment="1">
      <alignment horizontal="center" vertical="center" wrapText="1"/>
    </xf>
    <xf numFmtId="14" fontId="41" fillId="31" borderId="18" xfId="0" applyNumberFormat="1" applyFont="1" applyFill="1" applyBorder="1" applyAlignment="1">
      <alignment horizontal="center" vertical="center" wrapText="1"/>
    </xf>
    <xf numFmtId="14" fontId="14" fillId="31" borderId="18" xfId="0" applyNumberFormat="1" applyFont="1" applyFill="1" applyBorder="1" applyAlignment="1">
      <alignment horizontal="left" vertical="center" wrapText="1"/>
    </xf>
    <xf numFmtId="41" fontId="41" fillId="18" borderId="35" xfId="0" applyNumberFormat="1" applyFont="1" applyFill="1" applyBorder="1" applyAlignment="1">
      <alignment horizontal="center" vertical="center" wrapText="1"/>
    </xf>
    <xf numFmtId="41" fontId="41" fillId="17" borderId="35" xfId="0" applyNumberFormat="1" applyFont="1" applyFill="1" applyBorder="1" applyAlignment="1">
      <alignment horizontal="center" vertical="center" wrapText="1"/>
    </xf>
    <xf numFmtId="41" fontId="41" fillId="44" borderId="35" xfId="0" applyNumberFormat="1" applyFont="1" applyFill="1" applyBorder="1" applyAlignment="1">
      <alignment horizontal="center" vertical="center" wrapText="1"/>
    </xf>
    <xf numFmtId="41" fontId="41" fillId="18" borderId="36" xfId="0" applyNumberFormat="1" applyFont="1" applyFill="1" applyBorder="1" applyAlignment="1">
      <alignment horizontal="center" vertical="center" wrapText="1"/>
    </xf>
    <xf numFmtId="41" fontId="41" fillId="0" borderId="9" xfId="0" applyNumberFormat="1" applyFont="1" applyBorder="1" applyAlignment="1">
      <alignment horizontal="center" vertical="center" wrapText="1"/>
    </xf>
    <xf numFmtId="0" fontId="36" fillId="46" borderId="18" xfId="0" applyFont="1" applyFill="1" applyBorder="1" applyAlignment="1">
      <alignment horizontal="center" vertical="center" wrapText="1"/>
    </xf>
    <xf numFmtId="14" fontId="6" fillId="47" borderId="18" xfId="0" applyNumberFormat="1" applyFont="1" applyFill="1" applyBorder="1" applyAlignment="1">
      <alignment horizontal="center" vertical="center" wrapText="1"/>
    </xf>
    <xf numFmtId="0" fontId="35" fillId="46" borderId="31" xfId="0" applyFont="1" applyFill="1" applyBorder="1" applyAlignment="1">
      <alignment vertical="center" wrapText="1"/>
    </xf>
    <xf numFmtId="0" fontId="5" fillId="47" borderId="69" xfId="0" applyFont="1" applyFill="1" applyBorder="1" applyAlignment="1">
      <alignment vertical="center" wrapText="1"/>
    </xf>
    <xf numFmtId="0" fontId="5" fillId="0" borderId="0" xfId="0" applyFont="1" applyAlignment="1">
      <alignment vertical="center" wrapText="1"/>
    </xf>
    <xf numFmtId="14" fontId="31" fillId="31" borderId="18" xfId="0" applyNumberFormat="1" applyFont="1" applyFill="1" applyBorder="1" applyAlignment="1">
      <alignment horizontal="center" vertical="center" wrapText="1"/>
    </xf>
    <xf numFmtId="14" fontId="5" fillId="31" borderId="18" xfId="0" applyNumberFormat="1" applyFont="1" applyFill="1" applyBorder="1" applyAlignment="1">
      <alignment horizontal="left" vertical="center" wrapText="1"/>
    </xf>
    <xf numFmtId="0" fontId="31" fillId="46" borderId="31" xfId="0" applyFont="1" applyFill="1" applyBorder="1" applyAlignment="1">
      <alignment vertical="center" wrapText="1"/>
    </xf>
    <xf numFmtId="0" fontId="4" fillId="47" borderId="69" xfId="0" applyFont="1" applyFill="1" applyBorder="1"/>
    <xf numFmtId="0" fontId="4" fillId="0" borderId="13" xfId="0" applyFont="1" applyBorder="1"/>
    <xf numFmtId="14" fontId="31" fillId="0" borderId="13" xfId="0" applyNumberFormat="1" applyFont="1" applyBorder="1" applyAlignment="1">
      <alignment horizontal="center" vertical="center" wrapText="1"/>
    </xf>
    <xf numFmtId="14" fontId="31" fillId="0" borderId="0" xfId="0" applyNumberFormat="1" applyFont="1" applyAlignment="1">
      <alignment horizontal="center" vertical="center" wrapText="1"/>
    </xf>
    <xf numFmtId="0" fontId="40" fillId="31" borderId="35" xfId="0" applyFont="1" applyFill="1" applyBorder="1" applyAlignment="1">
      <alignment vertical="center" wrapText="1"/>
    </xf>
    <xf numFmtId="0" fontId="56" fillId="22" borderId="70" xfId="0" applyFont="1" applyFill="1" applyBorder="1" applyAlignment="1">
      <alignment horizontal="center" vertical="center" textRotation="90" wrapText="1"/>
    </xf>
    <xf numFmtId="0" fontId="31" fillId="22" borderId="71" xfId="0" applyFont="1" applyFill="1" applyBorder="1" applyAlignment="1">
      <alignment horizontal="center" vertical="center" textRotation="90" wrapText="1"/>
    </xf>
    <xf numFmtId="0" fontId="31" fillId="22" borderId="72" xfId="0" applyFont="1" applyFill="1" applyBorder="1" applyAlignment="1">
      <alignment horizontal="center" vertical="center" textRotation="90" wrapText="1"/>
    </xf>
    <xf numFmtId="0" fontId="57" fillId="31" borderId="70" xfId="0" applyFont="1" applyFill="1" applyBorder="1" applyAlignment="1">
      <alignment horizontal="center" vertical="center" textRotation="90" wrapText="1"/>
    </xf>
    <xf numFmtId="0" fontId="31" fillId="31" borderId="71" xfId="0" applyFont="1" applyFill="1" applyBorder="1" applyAlignment="1">
      <alignment horizontal="center" vertical="center" textRotation="90" wrapText="1"/>
    </xf>
    <xf numFmtId="0" fontId="31" fillId="31" borderId="72" xfId="0" applyFont="1" applyFill="1" applyBorder="1" applyAlignment="1">
      <alignment horizontal="center" vertical="center" textRotation="90" wrapText="1"/>
    </xf>
    <xf numFmtId="0" fontId="58" fillId="22" borderId="73" xfId="0" applyFont="1" applyFill="1" applyBorder="1" applyAlignment="1">
      <alignment horizontal="center" vertical="center" textRotation="90" wrapText="1"/>
    </xf>
    <xf numFmtId="0" fontId="59" fillId="31" borderId="74" xfId="0" applyFont="1" applyFill="1" applyBorder="1" applyAlignment="1">
      <alignment horizontal="center" vertical="center" textRotation="90" wrapText="1"/>
    </xf>
    <xf numFmtId="0" fontId="60" fillId="22" borderId="75" xfId="0" applyFont="1" applyFill="1" applyBorder="1" applyAlignment="1">
      <alignment horizontal="center" vertical="center" textRotation="90" wrapText="1"/>
    </xf>
    <xf numFmtId="0" fontId="31" fillId="31" borderId="74" xfId="0" applyFont="1" applyFill="1" applyBorder="1" applyAlignment="1">
      <alignment horizontal="center" vertical="center" textRotation="90" wrapText="1"/>
    </xf>
    <xf numFmtId="0" fontId="35" fillId="22" borderId="76" xfId="0" applyFont="1" applyFill="1" applyBorder="1" applyAlignment="1">
      <alignment vertical="center" textRotation="90" wrapText="1"/>
    </xf>
    <xf numFmtId="0" fontId="16" fillId="22" borderId="71" xfId="0" applyFont="1" applyFill="1" applyBorder="1" applyAlignment="1">
      <alignment vertical="center" wrapText="1"/>
    </xf>
    <xf numFmtId="0" fontId="31" fillId="22" borderId="77" xfId="0" applyFont="1" applyFill="1" applyBorder="1" applyAlignment="1">
      <alignment horizontal="center" vertical="center" textRotation="90" wrapText="1"/>
    </xf>
    <xf numFmtId="0" fontId="35" fillId="31" borderId="78" xfId="0" applyFont="1" applyFill="1" applyBorder="1" applyAlignment="1">
      <alignment vertical="center" textRotation="90" wrapText="1"/>
    </xf>
    <xf numFmtId="0" fontId="16" fillId="31" borderId="71" xfId="0" applyFont="1" applyFill="1" applyBorder="1" applyAlignment="1">
      <alignment vertical="center" wrapText="1"/>
    </xf>
    <xf numFmtId="0" fontId="55" fillId="46" borderId="79" xfId="0" applyFont="1" applyFill="1" applyBorder="1" applyAlignment="1">
      <alignment vertical="center" textRotation="90" wrapText="1"/>
    </xf>
    <xf numFmtId="0" fontId="4" fillId="47" borderId="74" xfId="0" applyFont="1" applyFill="1" applyBorder="1" applyAlignment="1">
      <alignment vertical="center" wrapText="1"/>
    </xf>
    <xf numFmtId="0" fontId="31" fillId="49" borderId="74" xfId="0" applyFont="1" applyFill="1" applyBorder="1" applyAlignment="1">
      <alignment horizontal="center" vertical="center" wrapText="1"/>
    </xf>
    <xf numFmtId="0" fontId="16" fillId="47" borderId="80" xfId="0" applyFont="1" applyFill="1" applyBorder="1" applyAlignment="1">
      <alignment horizontal="center" vertical="center" wrapText="1"/>
    </xf>
    <xf numFmtId="0" fontId="1" fillId="23" borderId="81" xfId="0" applyFont="1" applyFill="1" applyBorder="1" applyAlignment="1">
      <alignment horizontal="center" vertical="center"/>
    </xf>
    <xf numFmtId="0" fontId="1" fillId="23" borderId="82" xfId="0" applyFont="1" applyFill="1" applyBorder="1" applyAlignment="1">
      <alignment horizontal="center" vertical="center"/>
    </xf>
    <xf numFmtId="0" fontId="3" fillId="23" borderId="82" xfId="0" applyFont="1" applyFill="1" applyBorder="1" applyAlignment="1">
      <alignment horizontal="center" vertical="center"/>
    </xf>
    <xf numFmtId="0" fontId="11" fillId="23" borderId="82" xfId="0" applyFont="1" applyFill="1" applyBorder="1" applyAlignment="1">
      <alignment horizontal="left" vertical="center"/>
    </xf>
    <xf numFmtId="0" fontId="4" fillId="23" borderId="82" xfId="0" applyFont="1" applyFill="1" applyBorder="1"/>
    <xf numFmtId="0" fontId="4" fillId="23" borderId="83" xfId="0" applyFont="1" applyFill="1" applyBorder="1"/>
    <xf numFmtId="0" fontId="35" fillId="31" borderId="37" xfId="0" applyFont="1" applyFill="1" applyBorder="1" applyAlignment="1">
      <alignment vertical="center" wrapText="1"/>
    </xf>
    <xf numFmtId="0" fontId="31" fillId="22" borderId="84" xfId="0" applyFont="1" applyFill="1" applyBorder="1" applyAlignment="1">
      <alignment horizontal="center" vertical="center" textRotation="90" wrapText="1"/>
    </xf>
    <xf numFmtId="0" fontId="31" fillId="31" borderId="85" xfId="0" applyFont="1" applyFill="1" applyBorder="1" applyAlignment="1">
      <alignment horizontal="center" vertical="center" textRotation="90" wrapText="1"/>
    </xf>
    <xf numFmtId="0" fontId="31" fillId="31" borderId="54" xfId="0" applyFont="1" applyFill="1" applyBorder="1" applyAlignment="1">
      <alignment horizontal="center" vertical="center" textRotation="90" wrapText="1"/>
    </xf>
    <xf numFmtId="0" fontId="31" fillId="22" borderId="85" xfId="0" applyFont="1" applyFill="1" applyBorder="1" applyAlignment="1">
      <alignment horizontal="center" vertical="center" textRotation="90" wrapText="1"/>
    </xf>
    <xf numFmtId="0" fontId="31" fillId="22" borderId="55" xfId="0" applyFont="1" applyFill="1" applyBorder="1" applyAlignment="1">
      <alignment horizontal="center" vertical="center" textRotation="90" wrapText="1"/>
    </xf>
    <xf numFmtId="0" fontId="35" fillId="22" borderId="86" xfId="0" applyFont="1" applyFill="1" applyBorder="1" applyAlignment="1">
      <alignment vertical="center" textRotation="90" wrapText="1"/>
    </xf>
    <xf numFmtId="0" fontId="16" fillId="22" borderId="58" xfId="0" applyFont="1" applyFill="1" applyBorder="1" applyAlignment="1">
      <alignment vertical="center" wrapText="1"/>
    </xf>
    <xf numFmtId="0" fontId="31" fillId="22" borderId="56" xfId="0" applyFont="1" applyFill="1" applyBorder="1" applyAlignment="1">
      <alignment horizontal="center" vertical="center" textRotation="90" wrapText="1"/>
    </xf>
    <xf numFmtId="0" fontId="35" fillId="31" borderId="86" xfId="0" applyFont="1" applyFill="1" applyBorder="1" applyAlignment="1">
      <alignment vertical="center" textRotation="90" wrapText="1"/>
    </xf>
    <xf numFmtId="0" fontId="16" fillId="31" borderId="58" xfId="0" applyFont="1" applyFill="1" applyBorder="1" applyAlignment="1">
      <alignment vertical="center" wrapText="1"/>
    </xf>
    <xf numFmtId="0" fontId="31" fillId="31" borderId="87" xfId="0" applyFont="1" applyFill="1" applyBorder="1" applyAlignment="1">
      <alignment horizontal="center" vertical="center" textRotation="90" wrapText="1"/>
    </xf>
    <xf numFmtId="0" fontId="31" fillId="31" borderId="88" xfId="0" applyFont="1" applyFill="1" applyBorder="1" applyAlignment="1">
      <alignment horizontal="center" vertical="center" textRotation="90" wrapText="1"/>
    </xf>
    <xf numFmtId="0" fontId="55" fillId="46" borderId="41" xfId="0" applyFont="1" applyFill="1" applyBorder="1" applyAlignment="1">
      <alignment vertical="center" textRotation="90" wrapText="1"/>
    </xf>
    <xf numFmtId="0" fontId="4" fillId="47" borderId="23" xfId="0" applyFont="1" applyFill="1" applyBorder="1" applyAlignment="1">
      <alignment vertical="center" wrapText="1"/>
    </xf>
    <xf numFmtId="0" fontId="31" fillId="46" borderId="23" xfId="0" applyFont="1" applyFill="1" applyBorder="1" applyAlignment="1">
      <alignment horizontal="center" vertical="center" wrapText="1"/>
    </xf>
    <xf numFmtId="0" fontId="16" fillId="47" borderId="89" xfId="0" applyFont="1" applyFill="1" applyBorder="1" applyAlignment="1">
      <alignment horizontal="center" vertical="center" wrapText="1"/>
    </xf>
    <xf numFmtId="41" fontId="41" fillId="31" borderId="35" xfId="0" applyNumberFormat="1" applyFont="1" applyFill="1" applyBorder="1" applyAlignment="1">
      <alignment horizontal="center" vertical="center" wrapText="1"/>
    </xf>
    <xf numFmtId="0" fontId="35" fillId="22" borderId="90" xfId="0" applyFont="1" applyFill="1" applyBorder="1" applyAlignment="1">
      <alignment vertical="center" wrapText="1"/>
    </xf>
    <xf numFmtId="0" fontId="35" fillId="31" borderId="60" xfId="0" applyFont="1" applyFill="1" applyBorder="1" applyAlignment="1">
      <alignment vertical="center" wrapText="1"/>
    </xf>
    <xf numFmtId="0" fontId="35" fillId="22" borderId="58" xfId="0" applyFont="1" applyFill="1" applyBorder="1" applyAlignment="1">
      <alignment vertical="center" wrapText="1"/>
    </xf>
    <xf numFmtId="0" fontId="35" fillId="22" borderId="57" xfId="0" applyFont="1" applyFill="1" applyBorder="1" applyAlignment="1">
      <alignment vertical="center" wrapText="1"/>
    </xf>
    <xf numFmtId="0" fontId="35" fillId="22" borderId="91" xfId="0" applyFont="1" applyFill="1" applyBorder="1" applyAlignment="1">
      <alignment vertical="center" wrapText="1"/>
    </xf>
    <xf numFmtId="0" fontId="5" fillId="22" borderId="61" xfId="0" applyFont="1" applyFill="1" applyBorder="1" applyAlignment="1">
      <alignment vertical="center" wrapText="1"/>
    </xf>
    <xf numFmtId="0" fontId="35" fillId="22" borderId="36" xfId="0" applyFont="1" applyFill="1" applyBorder="1" applyAlignment="1">
      <alignment vertical="center" wrapText="1"/>
    </xf>
    <xf numFmtId="0" fontId="35" fillId="31" borderId="91" xfId="0" applyFont="1" applyFill="1" applyBorder="1" applyAlignment="1">
      <alignment vertical="center" wrapText="1"/>
    </xf>
    <xf numFmtId="0" fontId="5" fillId="31" borderId="61" xfId="0" applyFont="1" applyFill="1" applyBorder="1" applyAlignment="1">
      <alignment vertical="center" wrapText="1"/>
    </xf>
    <xf numFmtId="0" fontId="35" fillId="31" borderId="92" xfId="0" applyFont="1" applyFill="1" applyBorder="1" applyAlignment="1">
      <alignment vertical="center" wrapText="1"/>
    </xf>
    <xf numFmtId="0" fontId="36" fillId="46" borderId="31" xfId="0" applyFont="1" applyFill="1" applyBorder="1" applyAlignment="1">
      <alignment horizontal="center" vertical="center" wrapText="1"/>
    </xf>
    <xf numFmtId="0" fontId="39" fillId="22" borderId="90" xfId="0" applyFont="1" applyFill="1" applyBorder="1" applyAlignment="1">
      <alignment vertical="center" wrapText="1"/>
    </xf>
    <xf numFmtId="0" fontId="39" fillId="22" borderId="57" xfId="0" applyFont="1" applyFill="1" applyBorder="1" applyAlignment="1">
      <alignment vertical="center" wrapText="1"/>
    </xf>
    <xf numFmtId="0" fontId="39" fillId="22" borderId="91" xfId="0" applyFont="1" applyFill="1" applyBorder="1" applyAlignment="1">
      <alignment vertical="center" wrapText="1"/>
    </xf>
    <xf numFmtId="0" fontId="39" fillId="31" borderId="91" xfId="0" applyFont="1" applyFill="1" applyBorder="1" applyAlignment="1">
      <alignment vertical="center" wrapText="1"/>
    </xf>
    <xf numFmtId="0" fontId="29" fillId="2" borderId="39" xfId="0" applyFont="1" applyFill="1" applyBorder="1" applyAlignment="1">
      <alignment horizontal="center" vertical="center" wrapText="1"/>
    </xf>
    <xf numFmtId="0" fontId="5" fillId="27" borderId="66" xfId="0" applyFont="1" applyFill="1" applyBorder="1" applyAlignment="1">
      <alignment horizontal="center" vertical="center" wrapText="1"/>
    </xf>
    <xf numFmtId="0" fontId="8" fillId="10" borderId="67" xfId="0" applyFont="1" applyFill="1" applyBorder="1" applyAlignment="1">
      <alignment horizontal="center" vertical="center" wrapText="1"/>
    </xf>
    <xf numFmtId="0" fontId="30" fillId="27" borderId="68" xfId="0" applyFont="1" applyFill="1" applyBorder="1" applyAlignment="1">
      <alignment vertical="center" wrapText="1"/>
    </xf>
    <xf numFmtId="0" fontId="34" fillId="2" borderId="18" xfId="0" applyFont="1" applyFill="1" applyBorder="1" applyAlignment="1">
      <alignment horizontal="center" vertical="center" wrapText="1"/>
    </xf>
    <xf numFmtId="14" fontId="34" fillId="2" borderId="18" xfId="0" applyNumberFormat="1" applyFont="1" applyFill="1" applyBorder="1" applyAlignment="1">
      <alignment horizontal="center" vertical="center" wrapText="1"/>
    </xf>
    <xf numFmtId="0" fontId="19" fillId="27" borderId="97" xfId="0" applyFont="1" applyFill="1" applyBorder="1" applyAlignment="1">
      <alignment horizontal="center" vertical="center"/>
    </xf>
    <xf numFmtId="14" fontId="19" fillId="10" borderId="18" xfId="0" applyNumberFormat="1" applyFont="1" applyFill="1" applyBorder="1" applyAlignment="1">
      <alignment horizontal="left" vertical="center"/>
    </xf>
    <xf numFmtId="14" fontId="19" fillId="27" borderId="69" xfId="0" applyNumberFormat="1" applyFont="1" applyFill="1" applyBorder="1" applyAlignment="1">
      <alignment horizontal="left" vertical="center"/>
    </xf>
    <xf numFmtId="0" fontId="15" fillId="31" borderId="52" xfId="0" applyFont="1" applyFill="1" applyBorder="1" applyAlignment="1">
      <alignment horizontal="center" vertical="center" wrapText="1"/>
    </xf>
    <xf numFmtId="0" fontId="61" fillId="31" borderId="39" xfId="0" applyFont="1" applyFill="1" applyBorder="1" applyAlignment="1">
      <alignment horizontal="center" vertical="center" wrapText="1"/>
    </xf>
    <xf numFmtId="0" fontId="35" fillId="22" borderId="35" xfId="0" applyFont="1" applyFill="1" applyBorder="1" applyAlignment="1">
      <alignment vertical="center" wrapText="1"/>
    </xf>
    <xf numFmtId="0" fontId="19" fillId="22" borderId="61" xfId="0" applyFont="1" applyFill="1" applyBorder="1" applyAlignment="1">
      <alignment vertical="center" wrapText="1"/>
    </xf>
    <xf numFmtId="0" fontId="15" fillId="22" borderId="18" xfId="0" applyFont="1" applyFill="1" applyBorder="1" applyAlignment="1">
      <alignment vertical="center" wrapText="1"/>
    </xf>
    <xf numFmtId="0" fontId="35" fillId="22" borderId="35" xfId="0" applyFont="1" applyFill="1" applyBorder="1" applyAlignment="1">
      <alignment horizontal="center" vertical="center" wrapText="1"/>
    </xf>
    <xf numFmtId="0" fontId="30" fillId="22" borderId="36" xfId="0" applyFont="1" applyFill="1" applyBorder="1" applyAlignment="1">
      <alignment horizontal="center" vertical="center" wrapText="1"/>
    </xf>
    <xf numFmtId="0" fontId="35" fillId="31" borderId="35" xfId="0" applyFont="1" applyFill="1" applyBorder="1" applyAlignment="1">
      <alignment vertical="center" wrapText="1"/>
    </xf>
    <xf numFmtId="0" fontId="62" fillId="31" borderId="36" xfId="0" applyFont="1" applyFill="1" applyBorder="1" applyAlignment="1">
      <alignment vertical="center" wrapText="1"/>
    </xf>
    <xf numFmtId="0" fontId="39" fillId="22" borderId="66" xfId="0" applyFont="1" applyFill="1" applyBorder="1" applyAlignment="1">
      <alignment vertical="center" wrapText="1"/>
    </xf>
    <xf numFmtId="0" fontId="39" fillId="31" borderId="67" xfId="0" applyFont="1" applyFill="1" applyBorder="1" applyAlignment="1">
      <alignment vertical="center" wrapText="1"/>
    </xf>
    <xf numFmtId="0" fontId="63" fillId="22" borderId="67" xfId="0" applyFont="1" applyFill="1" applyBorder="1" applyAlignment="1">
      <alignment vertical="center" wrapText="1"/>
    </xf>
    <xf numFmtId="0" fontId="5" fillId="31" borderId="67" xfId="0" applyFont="1" applyFill="1" applyBorder="1" applyAlignment="1">
      <alignment vertical="center" wrapText="1"/>
    </xf>
    <xf numFmtId="0" fontId="5" fillId="22" borderId="68" xfId="0" applyFont="1" applyFill="1" applyBorder="1" applyAlignment="1">
      <alignment vertical="center" wrapText="1"/>
    </xf>
    <xf numFmtId="0" fontId="64" fillId="22" borderId="31" xfId="0" applyFont="1" applyFill="1" applyBorder="1" applyAlignment="1">
      <alignment vertical="center" wrapText="1"/>
    </xf>
    <xf numFmtId="0" fontId="39" fillId="18" borderId="66" xfId="0" applyFont="1" applyFill="1" applyBorder="1" applyAlignment="1">
      <alignment vertical="center" wrapText="1"/>
    </xf>
    <xf numFmtId="0" fontId="39" fillId="51" borderId="67" xfId="0" applyFont="1" applyFill="1" applyBorder="1" applyAlignment="1">
      <alignment vertical="center" wrapText="1"/>
    </xf>
    <xf numFmtId="0" fontId="63" fillId="18" borderId="67" xfId="0" applyFont="1" applyFill="1" applyBorder="1" applyAlignment="1">
      <alignment vertical="center" wrapText="1"/>
    </xf>
    <xf numFmtId="0" fontId="5" fillId="51" borderId="67" xfId="0" applyFont="1" applyFill="1" applyBorder="1" applyAlignment="1">
      <alignment vertical="center" wrapText="1"/>
    </xf>
    <xf numFmtId="0" fontId="5" fillId="18" borderId="68" xfId="0" applyFont="1" applyFill="1" applyBorder="1" applyAlignment="1">
      <alignment vertical="center" wrapText="1"/>
    </xf>
    <xf numFmtId="0" fontId="64" fillId="51" borderId="98" xfId="0" applyFont="1" applyFill="1" applyBorder="1" applyAlignment="1">
      <alignment vertical="center" wrapText="1"/>
    </xf>
    <xf numFmtId="0" fontId="65" fillId="0" borderId="0" xfId="0" applyFont="1" applyAlignment="1">
      <alignment vertical="center" wrapText="1"/>
    </xf>
    <xf numFmtId="0" fontId="4" fillId="23" borderId="99" xfId="0" applyFont="1" applyFill="1" applyBorder="1"/>
    <xf numFmtId="0" fontId="66" fillId="5" borderId="18" xfId="0" applyFont="1" applyFill="1" applyBorder="1" applyAlignment="1">
      <alignment horizontal="center"/>
    </xf>
    <xf numFmtId="0" fontId="39" fillId="22" borderId="35" xfId="0" applyFont="1" applyFill="1" applyBorder="1" applyAlignment="1">
      <alignment vertical="center" wrapText="1"/>
    </xf>
    <xf numFmtId="0" fontId="15" fillId="22" borderId="35" xfId="0" applyFont="1" applyFill="1" applyBorder="1" applyAlignment="1">
      <alignment horizontal="center" vertical="center" wrapText="1"/>
    </xf>
    <xf numFmtId="0" fontId="39" fillId="22" borderId="100" xfId="0" applyFont="1" applyFill="1" applyBorder="1" applyAlignment="1">
      <alignment vertical="center" wrapText="1"/>
    </xf>
    <xf numFmtId="0" fontId="38" fillId="31" borderId="23" xfId="0" applyFont="1" applyFill="1" applyBorder="1" applyAlignment="1">
      <alignment vertical="center" wrapText="1"/>
    </xf>
    <xf numFmtId="0" fontId="63" fillId="22" borderId="23" xfId="0" applyFont="1" applyFill="1" applyBorder="1" applyAlignment="1">
      <alignment vertical="center" wrapText="1"/>
    </xf>
    <xf numFmtId="0" fontId="5" fillId="31" borderId="23" xfId="0" applyFont="1" applyFill="1" applyBorder="1" applyAlignment="1">
      <alignment vertical="center" wrapText="1"/>
    </xf>
    <xf numFmtId="0" fontId="5" fillId="31" borderId="89" xfId="0" applyFont="1" applyFill="1" applyBorder="1" applyAlignment="1">
      <alignment vertical="center" wrapText="1"/>
    </xf>
    <xf numFmtId="0" fontId="64" fillId="22" borderId="33" xfId="0" applyFont="1" applyFill="1" applyBorder="1" applyAlignment="1">
      <alignment vertical="center" wrapText="1"/>
    </xf>
    <xf numFmtId="0" fontId="39" fillId="18" borderId="97" xfId="0" applyFont="1" applyFill="1" applyBorder="1" applyAlignment="1">
      <alignment vertical="center" wrapText="1"/>
    </xf>
    <xf numFmtId="0" fontId="39" fillId="51" borderId="18" xfId="0" applyFont="1" applyFill="1" applyBorder="1" applyAlignment="1">
      <alignment vertical="center" wrapText="1"/>
    </xf>
    <xf numFmtId="0" fontId="63" fillId="18" borderId="18" xfId="0" applyFont="1" applyFill="1" applyBorder="1" applyAlignment="1">
      <alignment vertical="center" wrapText="1"/>
    </xf>
    <xf numFmtId="0" fontId="5" fillId="51" borderId="18" xfId="0" applyFont="1" applyFill="1" applyBorder="1" applyAlignment="1">
      <alignment vertical="center" wrapText="1"/>
    </xf>
    <xf numFmtId="0" fontId="5" fillId="18" borderId="69" xfId="0" applyFont="1" applyFill="1" applyBorder="1" applyAlignment="1">
      <alignment vertical="center" wrapText="1"/>
    </xf>
    <xf numFmtId="0" fontId="64" fillId="51" borderId="101" xfId="0" applyFont="1" applyFill="1" applyBorder="1" applyAlignment="1">
      <alignment vertical="center" wrapText="1"/>
    </xf>
    <xf numFmtId="0" fontId="34" fillId="31" borderId="18" xfId="0" applyFont="1" applyFill="1" applyBorder="1" applyAlignment="1">
      <alignment horizontal="center" vertical="center"/>
    </xf>
    <xf numFmtId="0" fontId="34" fillId="22" borderId="18" xfId="0" applyFont="1" applyFill="1" applyBorder="1" applyAlignment="1">
      <alignment vertical="center" wrapText="1"/>
    </xf>
    <xf numFmtId="14" fontId="34" fillId="31" borderId="18" xfId="0" applyNumberFormat="1" applyFont="1" applyFill="1" applyBorder="1" applyAlignment="1">
      <alignment horizontal="center" vertical="center"/>
    </xf>
    <xf numFmtId="0" fontId="36" fillId="31" borderId="35" xfId="0" applyFont="1" applyFill="1" applyBorder="1" applyAlignment="1">
      <alignment vertical="center" wrapText="1"/>
    </xf>
    <xf numFmtId="0" fontId="19" fillId="31" borderId="36" xfId="0" applyFont="1" applyFill="1" applyBorder="1" applyAlignment="1">
      <alignment horizontal="left" vertical="center"/>
    </xf>
    <xf numFmtId="0" fontId="19" fillId="22" borderId="36" xfId="0" applyFont="1" applyFill="1" applyBorder="1" applyAlignment="1">
      <alignment horizontal="left" vertical="center"/>
    </xf>
    <xf numFmtId="0" fontId="63" fillId="22" borderId="35" xfId="0" applyFont="1" applyFill="1" applyBorder="1" applyAlignment="1">
      <alignment vertical="center" wrapText="1"/>
    </xf>
    <xf numFmtId="0" fontId="19" fillId="22" borderId="36" xfId="0" applyFont="1" applyFill="1" applyBorder="1" applyAlignment="1">
      <alignment vertical="center"/>
    </xf>
    <xf numFmtId="0" fontId="36" fillId="31" borderId="36" xfId="0" applyFont="1" applyFill="1" applyBorder="1" applyAlignment="1">
      <alignment horizontal="center" vertical="center"/>
    </xf>
    <xf numFmtId="0" fontId="36" fillId="22" borderId="97" xfId="0" applyFont="1" applyFill="1" applyBorder="1" applyAlignment="1">
      <alignment horizontal="center" vertical="center" wrapText="1"/>
    </xf>
    <xf numFmtId="0" fontId="36" fillId="31" borderId="18" xfId="0" applyFont="1" applyFill="1" applyBorder="1" applyAlignment="1">
      <alignment horizontal="center" vertical="center" wrapText="1"/>
    </xf>
    <xf numFmtId="0" fontId="36" fillId="22" borderId="18" xfId="0" applyFont="1" applyFill="1" applyBorder="1" applyAlignment="1">
      <alignment horizontal="center" vertical="center" wrapText="1"/>
    </xf>
    <xf numFmtId="14" fontId="6" fillId="22" borderId="69" xfId="0" applyNumberFormat="1" applyFont="1" applyFill="1" applyBorder="1" applyAlignment="1">
      <alignment horizontal="center" vertical="center" wrapText="1"/>
    </xf>
    <xf numFmtId="1" fontId="67" fillId="22" borderId="64" xfId="0" applyNumberFormat="1" applyFont="1" applyFill="1" applyBorder="1" applyAlignment="1">
      <alignment horizontal="center" vertical="center"/>
    </xf>
    <xf numFmtId="0" fontId="36" fillId="18" borderId="97" xfId="0" applyFont="1" applyFill="1" applyBorder="1" applyAlignment="1">
      <alignment horizontal="center" vertical="center" wrapText="1"/>
    </xf>
    <xf numFmtId="0" fontId="36" fillId="51" borderId="18" xfId="0" applyFont="1" applyFill="1" applyBorder="1" applyAlignment="1">
      <alignment horizontal="center" vertical="center" wrapText="1"/>
    </xf>
    <xf numFmtId="0" fontId="36" fillId="18" borderId="18" xfId="0" applyFont="1" applyFill="1" applyBorder="1" applyAlignment="1">
      <alignment horizontal="center" vertical="center" wrapText="1"/>
    </xf>
    <xf numFmtId="14" fontId="6" fillId="18" borderId="69" xfId="0" applyNumberFormat="1" applyFont="1" applyFill="1" applyBorder="1" applyAlignment="1">
      <alignment horizontal="center" vertical="center" wrapText="1"/>
    </xf>
    <xf numFmtId="0" fontId="4" fillId="0" borderId="101" xfId="0" applyFont="1" applyBorder="1"/>
    <xf numFmtId="0" fontId="38" fillId="31" borderId="35" xfId="0" applyFont="1" applyFill="1" applyBorder="1" applyAlignment="1">
      <alignment vertical="center" wrapText="1"/>
    </xf>
    <xf numFmtId="0" fontId="34" fillId="41" borderId="18" xfId="0" applyFont="1" applyFill="1" applyBorder="1" applyAlignment="1">
      <alignment vertical="center" wrapText="1"/>
    </xf>
    <xf numFmtId="0" fontId="68" fillId="52" borderId="18" xfId="0" applyFont="1" applyFill="1" applyBorder="1" applyAlignment="1">
      <alignment vertical="center" wrapText="1"/>
    </xf>
    <xf numFmtId="0" fontId="5" fillId="41" borderId="18" xfId="0" applyFont="1" applyFill="1" applyBorder="1" applyAlignment="1">
      <alignment horizontal="center" vertical="center" wrapText="1"/>
    </xf>
    <xf numFmtId="0" fontId="5" fillId="52" borderId="18" xfId="0" applyFont="1" applyFill="1" applyBorder="1" applyAlignment="1">
      <alignment vertical="center" wrapText="1"/>
    </xf>
    <xf numFmtId="0" fontId="5" fillId="41" borderId="18" xfId="0" applyFont="1" applyFill="1" applyBorder="1" applyAlignment="1">
      <alignment vertical="center" wrapText="1"/>
    </xf>
    <xf numFmtId="0" fontId="68" fillId="31" borderId="18" xfId="0" applyFont="1" applyFill="1" applyBorder="1" applyAlignment="1">
      <alignment vertical="center" wrapText="1"/>
    </xf>
    <xf numFmtId="0" fontId="5" fillId="22" borderId="18" xfId="0" applyFont="1" applyFill="1" applyBorder="1" applyAlignment="1">
      <alignment horizontal="center" vertical="center" wrapText="1"/>
    </xf>
    <xf numFmtId="0" fontId="5" fillId="31" borderId="18" xfId="0" applyFont="1" applyFill="1" applyBorder="1" applyAlignment="1">
      <alignment vertical="center" wrapText="1"/>
    </xf>
    <xf numFmtId="0" fontId="5" fillId="22" borderId="18" xfId="0" applyFont="1" applyFill="1" applyBorder="1" applyAlignment="1">
      <alignment vertical="center" wrapText="1"/>
    </xf>
    <xf numFmtId="0" fontId="6" fillId="16" borderId="35" xfId="0" applyFont="1" applyFill="1" applyBorder="1" applyAlignment="1">
      <alignment horizontal="center" vertical="center" wrapText="1"/>
    </xf>
    <xf numFmtId="0" fontId="4" fillId="12" borderId="64" xfId="0" applyFont="1" applyFill="1" applyBorder="1" applyAlignment="1">
      <alignment horizontal="center" vertical="center"/>
    </xf>
    <xf numFmtId="0" fontId="1" fillId="16" borderId="26" xfId="0" applyFont="1" applyFill="1" applyBorder="1" applyAlignment="1">
      <alignment horizontal="center" vertical="center"/>
    </xf>
    <xf numFmtId="0" fontId="19" fillId="12" borderId="18" xfId="0" applyFont="1" applyFill="1" applyBorder="1" applyAlignment="1">
      <alignment horizontal="center" vertical="center"/>
    </xf>
    <xf numFmtId="14" fontId="34" fillId="40" borderId="18" xfId="0" applyNumberFormat="1" applyFont="1" applyFill="1" applyBorder="1" applyAlignment="1">
      <alignment vertical="center" wrapText="1"/>
    </xf>
    <xf numFmtId="0" fontId="5" fillId="40" borderId="18" xfId="0" applyFont="1" applyFill="1" applyBorder="1" applyAlignment="1">
      <alignment horizontal="center" vertical="center"/>
    </xf>
    <xf numFmtId="0" fontId="5" fillId="40" borderId="18" xfId="0" applyFont="1" applyFill="1" applyBorder="1" applyAlignment="1">
      <alignment vertical="center" wrapText="1"/>
    </xf>
    <xf numFmtId="14" fontId="34" fillId="31" borderId="18" xfId="0" applyNumberFormat="1" applyFont="1" applyFill="1" applyBorder="1" applyAlignment="1">
      <alignment vertical="center" wrapText="1"/>
    </xf>
    <xf numFmtId="0" fontId="5" fillId="53" borderId="18" xfId="0" applyFont="1" applyFill="1" applyBorder="1" applyAlignment="1">
      <alignment vertical="center" wrapText="1"/>
    </xf>
    <xf numFmtId="0" fontId="5" fillId="31" borderId="18" xfId="0" applyFont="1" applyFill="1" applyBorder="1" applyAlignment="1">
      <alignment horizontal="center" vertical="center"/>
    </xf>
    <xf numFmtId="0" fontId="4" fillId="6" borderId="35" xfId="0" applyFont="1" applyFill="1" applyBorder="1"/>
    <xf numFmtId="0" fontId="5" fillId="41" borderId="18" xfId="0" applyFont="1" applyFill="1" applyBorder="1" applyAlignment="1">
      <alignment horizontal="center" vertical="center"/>
    </xf>
    <xf numFmtId="14" fontId="34" fillId="22" borderId="18" xfId="0" applyNumberFormat="1" applyFont="1" applyFill="1" applyBorder="1" applyAlignment="1">
      <alignment vertical="center" wrapText="1"/>
    </xf>
    <xf numFmtId="0" fontId="5" fillId="22" borderId="18" xfId="0" applyFont="1" applyFill="1" applyBorder="1" applyAlignment="1">
      <alignment horizontal="center" vertical="center"/>
    </xf>
    <xf numFmtId="0" fontId="4" fillId="54" borderId="35" xfId="0" applyFont="1" applyFill="1" applyBorder="1"/>
    <xf numFmtId="14" fontId="34" fillId="41" borderId="18" xfId="0" applyNumberFormat="1" applyFont="1" applyFill="1" applyBorder="1" applyAlignment="1">
      <alignment vertical="center" wrapText="1"/>
    </xf>
    <xf numFmtId="0" fontId="42" fillId="15" borderId="39" xfId="0" applyFont="1" applyFill="1" applyBorder="1" applyAlignment="1">
      <alignment horizontal="center" vertical="center" wrapText="1"/>
    </xf>
    <xf numFmtId="0" fontId="4" fillId="23" borderId="102" xfId="0" applyFont="1" applyFill="1" applyBorder="1"/>
    <xf numFmtId="0" fontId="4" fillId="23" borderId="30" xfId="0" applyFont="1" applyFill="1" applyBorder="1"/>
    <xf numFmtId="0" fontId="4" fillId="23" borderId="41" xfId="0" applyFont="1" applyFill="1" applyBorder="1"/>
    <xf numFmtId="0" fontId="42" fillId="15" borderId="23" xfId="0" applyFont="1" applyFill="1" applyBorder="1" applyAlignment="1">
      <alignment horizontal="center" vertical="center" wrapText="1"/>
    </xf>
    <xf numFmtId="0" fontId="22" fillId="15" borderId="18" xfId="0" applyFont="1" applyFill="1" applyBorder="1" applyAlignment="1">
      <alignment horizontal="center" vertical="center"/>
    </xf>
    <xf numFmtId="0" fontId="69" fillId="2" borderId="6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4" fillId="12" borderId="103" xfId="0" applyFont="1" applyFill="1" applyBorder="1" applyAlignment="1">
      <alignment horizontal="center" vertical="center" wrapText="1"/>
    </xf>
    <xf numFmtId="0" fontId="4" fillId="12" borderId="104" xfId="0" applyFont="1" applyFill="1" applyBorder="1" applyAlignment="1">
      <alignment horizontal="center" vertical="center" wrapText="1"/>
    </xf>
    <xf numFmtId="0" fontId="19" fillId="4" borderId="67" xfId="0" applyFont="1" applyFill="1" applyBorder="1" applyAlignment="1">
      <alignment horizontal="center" vertical="center" wrapText="1"/>
    </xf>
    <xf numFmtId="0" fontId="70" fillId="11" borderId="67" xfId="0" applyFont="1" applyFill="1" applyBorder="1" applyAlignment="1">
      <alignment horizontal="center" vertical="center" wrapText="1"/>
    </xf>
    <xf numFmtId="0" fontId="19" fillId="55" borderId="103" xfId="0" applyFont="1" applyFill="1" applyBorder="1" applyAlignment="1">
      <alignment horizontal="center" vertical="center" wrapText="1"/>
    </xf>
    <xf numFmtId="0" fontId="19" fillId="55" borderId="104" xfId="0" applyFont="1" applyFill="1" applyBorder="1" applyAlignment="1">
      <alignment horizontal="center" vertical="center" wrapText="1"/>
    </xf>
    <xf numFmtId="0" fontId="70" fillId="2" borderId="67" xfId="0" applyFont="1" applyFill="1" applyBorder="1" applyAlignment="1">
      <alignment horizontal="center" vertical="center" wrapText="1"/>
    </xf>
    <xf numFmtId="0" fontId="19" fillId="12" borderId="103" xfId="0" applyFont="1" applyFill="1" applyBorder="1" applyAlignment="1">
      <alignment horizontal="center" vertical="center" wrapText="1"/>
    </xf>
    <xf numFmtId="0" fontId="19" fillId="12" borderId="104" xfId="0" applyFont="1" applyFill="1" applyBorder="1" applyAlignment="1">
      <alignment horizontal="center" vertical="center" wrapText="1"/>
    </xf>
    <xf numFmtId="0" fontId="71" fillId="2" borderId="67" xfId="0" applyFont="1" applyFill="1" applyBorder="1" applyAlignment="1">
      <alignment horizontal="center" vertical="center" wrapText="1"/>
    </xf>
    <xf numFmtId="0" fontId="4" fillId="23" borderId="105" xfId="0" applyFont="1" applyFill="1" applyBorder="1"/>
    <xf numFmtId="0" fontId="4" fillId="4" borderId="67" xfId="0" applyFont="1" applyFill="1" applyBorder="1" applyAlignment="1">
      <alignment vertical="center" wrapText="1"/>
    </xf>
    <xf numFmtId="0" fontId="4" fillId="12" borderId="103" xfId="0" applyFont="1" applyFill="1" applyBorder="1" applyAlignment="1">
      <alignment vertical="center" wrapText="1"/>
    </xf>
    <xf numFmtId="0" fontId="72" fillId="11" borderId="67" xfId="0" applyFont="1" applyFill="1" applyBorder="1" applyAlignment="1">
      <alignment horizontal="center" vertical="center" wrapText="1"/>
    </xf>
    <xf numFmtId="0" fontId="8" fillId="55" borderId="103" xfId="0" applyFont="1" applyFill="1" applyBorder="1" applyAlignment="1">
      <alignment vertical="center" wrapText="1"/>
    </xf>
    <xf numFmtId="0" fontId="4" fillId="55" borderId="104" xfId="0" applyFont="1" applyFill="1" applyBorder="1" applyAlignment="1">
      <alignment horizontal="center" vertical="center" wrapText="1"/>
    </xf>
    <xf numFmtId="0" fontId="72" fillId="2" borderId="67" xfId="0" applyFont="1" applyFill="1" applyBorder="1" applyAlignment="1">
      <alignment horizontal="center" vertical="center" wrapText="1"/>
    </xf>
    <xf numFmtId="0" fontId="8" fillId="12" borderId="103" xfId="0" applyFont="1" applyFill="1" applyBorder="1" applyAlignment="1">
      <alignment vertical="center" wrapText="1"/>
    </xf>
    <xf numFmtId="0" fontId="69" fillId="2" borderId="67" xfId="0" applyFont="1" applyFill="1" applyBorder="1" applyAlignment="1">
      <alignment horizontal="center" vertical="center" wrapText="1"/>
    </xf>
    <xf numFmtId="14" fontId="73" fillId="2" borderId="97" xfId="0" applyNumberFormat="1" applyFont="1" applyFill="1" applyBorder="1" applyAlignment="1">
      <alignment horizontal="center" vertical="center"/>
    </xf>
    <xf numFmtId="14" fontId="19" fillId="4" borderId="18" xfId="0" applyNumberFormat="1" applyFont="1" applyFill="1" applyBorder="1" applyAlignment="1">
      <alignment horizontal="center" vertical="center"/>
    </xf>
    <xf numFmtId="14" fontId="38" fillId="12" borderId="35" xfId="0" applyNumberFormat="1" applyFont="1" applyFill="1" applyBorder="1" applyAlignment="1">
      <alignment vertical="center" wrapText="1"/>
    </xf>
    <xf numFmtId="14" fontId="19" fillId="12" borderId="36" xfId="0" applyNumberFormat="1" applyFont="1" applyFill="1" applyBorder="1" applyAlignment="1">
      <alignment vertical="center"/>
    </xf>
    <xf numFmtId="0" fontId="36" fillId="4" borderId="18" xfId="0" applyFont="1" applyFill="1" applyBorder="1" applyAlignment="1">
      <alignment horizontal="center" vertical="center"/>
    </xf>
    <xf numFmtId="14" fontId="73" fillId="11" borderId="18" xfId="0" applyNumberFormat="1" applyFont="1" applyFill="1" applyBorder="1" applyAlignment="1">
      <alignment horizontal="center" vertical="center"/>
    </xf>
    <xf numFmtId="14" fontId="19" fillId="4" borderId="18" xfId="0" applyNumberFormat="1" applyFont="1" applyFill="1" applyBorder="1"/>
    <xf numFmtId="14" fontId="38" fillId="55" borderId="35" xfId="0" applyNumberFormat="1" applyFont="1" applyFill="1" applyBorder="1" applyAlignment="1">
      <alignment vertical="center" wrapText="1"/>
    </xf>
    <xf numFmtId="14" fontId="19" fillId="55" borderId="36" xfId="0" applyNumberFormat="1" applyFont="1" applyFill="1" applyBorder="1" applyAlignment="1">
      <alignment vertical="center"/>
    </xf>
    <xf numFmtId="14" fontId="73" fillId="2" borderId="18" xfId="0" applyNumberFormat="1" applyFont="1" applyFill="1" applyBorder="1" applyAlignment="1">
      <alignment horizontal="center" vertical="center"/>
    </xf>
    <xf numFmtId="0" fontId="19" fillId="22" borderId="39" xfId="0" applyFont="1" applyFill="1" applyBorder="1" applyAlignment="1">
      <alignment horizontal="center" vertical="center"/>
    </xf>
    <xf numFmtId="0" fontId="34" fillId="31" borderId="39" xfId="0" applyFont="1" applyFill="1" applyBorder="1" applyAlignment="1">
      <alignment horizontal="center" vertical="center" wrapText="1"/>
    </xf>
    <xf numFmtId="0" fontId="34" fillId="22" borderId="39" xfId="0" applyFont="1" applyFill="1" applyBorder="1" applyAlignment="1">
      <alignment horizontal="center" vertical="center" wrapText="1"/>
    </xf>
    <xf numFmtId="14" fontId="34" fillId="31" borderId="39" xfId="0" applyNumberFormat="1" applyFont="1" applyFill="1" applyBorder="1" applyAlignment="1">
      <alignment horizontal="center" vertical="center" wrapText="1"/>
    </xf>
    <xf numFmtId="14" fontId="34" fillId="22" borderId="39" xfId="0" applyNumberFormat="1" applyFont="1" applyFill="1" applyBorder="1" applyAlignment="1">
      <alignment horizontal="center" vertical="center" wrapText="1"/>
    </xf>
    <xf numFmtId="14" fontId="73" fillId="2" borderId="106" xfId="0" applyNumberFormat="1" applyFont="1" applyFill="1" applyBorder="1" applyAlignment="1">
      <alignment horizontal="center" vertical="center"/>
    </xf>
    <xf numFmtId="14" fontId="19" fillId="4" borderId="39" xfId="0" applyNumberFormat="1" applyFont="1" applyFill="1" applyBorder="1" applyAlignment="1">
      <alignment horizontal="center" vertical="center"/>
    </xf>
    <xf numFmtId="14" fontId="38" fillId="12" borderId="52" xfId="0" applyNumberFormat="1" applyFont="1" applyFill="1" applyBorder="1" applyAlignment="1">
      <alignment vertical="center" wrapText="1"/>
    </xf>
    <xf numFmtId="0" fontId="36" fillId="4" borderId="39" xfId="0" applyFont="1" applyFill="1" applyBorder="1" applyAlignment="1">
      <alignment horizontal="center" vertical="center"/>
    </xf>
    <xf numFmtId="14" fontId="19" fillId="4" borderId="39" xfId="0" applyNumberFormat="1" applyFont="1" applyFill="1" applyBorder="1"/>
    <xf numFmtId="14" fontId="38" fillId="55" borderId="52" xfId="0" applyNumberFormat="1" applyFont="1" applyFill="1" applyBorder="1" applyAlignment="1">
      <alignment vertical="center" wrapText="1"/>
    </xf>
    <xf numFmtId="0" fontId="19" fillId="0" borderId="13" xfId="0" applyFont="1" applyBorder="1" applyAlignment="1">
      <alignment horizontal="center"/>
    </xf>
    <xf numFmtId="0" fontId="5" fillId="17" borderId="39" xfId="0" applyFont="1" applyFill="1" applyBorder="1" applyAlignment="1">
      <alignment horizontal="center" vertical="center"/>
    </xf>
    <xf numFmtId="0" fontId="5" fillId="18" borderId="39" xfId="0" applyFont="1" applyFill="1" applyBorder="1" applyAlignment="1">
      <alignment vertical="center" wrapText="1"/>
    </xf>
    <xf numFmtId="0" fontId="5" fillId="17" borderId="52" xfId="0" applyFont="1" applyFill="1" applyBorder="1" applyAlignment="1">
      <alignment vertical="center" wrapText="1"/>
    </xf>
    <xf numFmtId="0" fontId="35" fillId="18" borderId="56" xfId="0" applyFont="1" applyFill="1" applyBorder="1" applyAlignment="1">
      <alignment horizontal="center" vertical="center" wrapText="1"/>
    </xf>
    <xf numFmtId="0" fontId="5" fillId="17" borderId="29" xfId="0" applyFont="1" applyFill="1" applyBorder="1" applyAlignment="1">
      <alignment vertical="center" wrapText="1"/>
    </xf>
    <xf numFmtId="0" fontId="14" fillId="18" borderId="39" xfId="0" applyFont="1" applyFill="1" applyBorder="1" applyAlignment="1">
      <alignment vertical="center" wrapText="1"/>
    </xf>
    <xf numFmtId="0" fontId="5" fillId="18" borderId="29" xfId="0" applyFont="1" applyFill="1" applyBorder="1" applyAlignment="1">
      <alignment vertical="center" wrapText="1"/>
    </xf>
    <xf numFmtId="0" fontId="35" fillId="18" borderId="29" xfId="0" applyFont="1" applyFill="1" applyBorder="1" applyAlignment="1">
      <alignment horizontal="center" vertical="center" wrapText="1"/>
    </xf>
    <xf numFmtId="0" fontId="5" fillId="27" borderId="51" xfId="0" applyFont="1" applyFill="1" applyBorder="1" applyAlignment="1">
      <alignment vertical="center" textRotation="90" wrapText="1"/>
    </xf>
    <xf numFmtId="0" fontId="5" fillId="9" borderId="51" xfId="0" applyFont="1" applyFill="1" applyBorder="1" applyAlignment="1">
      <alignment vertical="center" textRotation="90" wrapText="1"/>
    </xf>
    <xf numFmtId="0" fontId="5" fillId="27" borderId="29" xfId="0" applyFont="1" applyFill="1" applyBorder="1" applyAlignment="1">
      <alignment vertical="center" textRotation="90" wrapText="1"/>
    </xf>
    <xf numFmtId="0" fontId="14" fillId="27" borderId="38" xfId="0" applyFont="1" applyFill="1" applyBorder="1" applyAlignment="1">
      <alignment vertical="center" wrapText="1"/>
    </xf>
    <xf numFmtId="0" fontId="5" fillId="22" borderId="39" xfId="0" applyFont="1" applyFill="1" applyBorder="1" applyAlignment="1">
      <alignment vertical="center" textRotation="90" wrapText="1"/>
    </xf>
    <xf numFmtId="0" fontId="5" fillId="31" borderId="39" xfId="0" applyFont="1" applyFill="1" applyBorder="1" applyAlignment="1">
      <alignment vertical="center" textRotation="90" wrapText="1"/>
    </xf>
    <xf numFmtId="0" fontId="5" fillId="22" borderId="29" xfId="0" applyFont="1" applyFill="1" applyBorder="1" applyAlignment="1">
      <alignment vertical="center" textRotation="90" wrapText="1"/>
    </xf>
    <xf numFmtId="0" fontId="14" fillId="22" borderId="38" xfId="0" applyFont="1" applyFill="1" applyBorder="1" applyAlignment="1">
      <alignment vertical="center" wrapText="1"/>
    </xf>
    <xf numFmtId="0" fontId="5" fillId="17" borderId="37" xfId="0" applyFont="1" applyFill="1" applyBorder="1" applyAlignment="1">
      <alignment horizontal="center" vertical="center"/>
    </xf>
    <xf numFmtId="0" fontId="5" fillId="19" borderId="63" xfId="0" applyFont="1" applyFill="1" applyBorder="1" applyAlignment="1">
      <alignment vertical="center" textRotation="90" wrapText="1"/>
    </xf>
    <xf numFmtId="0" fontId="5" fillId="19" borderId="39" xfId="0" applyFont="1" applyFill="1" applyBorder="1" applyAlignment="1">
      <alignment horizontal="center" vertical="center"/>
    </xf>
    <xf numFmtId="0" fontId="5" fillId="19" borderId="26" xfId="0" applyFont="1" applyFill="1" applyBorder="1" applyAlignment="1">
      <alignment vertical="center" textRotation="90" wrapText="1"/>
    </xf>
    <xf numFmtId="0" fontId="5" fillId="19" borderId="51" xfId="0" applyFont="1" applyFill="1" applyBorder="1" applyAlignment="1">
      <alignment horizontal="center" vertical="center"/>
    </xf>
    <xf numFmtId="0" fontId="74" fillId="19" borderId="26" xfId="0" applyFont="1" applyFill="1" applyBorder="1" applyAlignment="1">
      <alignment vertical="center" wrapText="1"/>
    </xf>
    <xf numFmtId="0" fontId="74" fillId="19" borderId="51" xfId="0" applyFont="1" applyFill="1" applyBorder="1" applyAlignment="1">
      <alignment vertical="center" wrapText="1"/>
    </xf>
    <xf numFmtId="0" fontId="4" fillId="19" borderId="26" xfId="0" applyFont="1" applyFill="1" applyBorder="1" applyAlignment="1">
      <alignment vertical="center"/>
    </xf>
    <xf numFmtId="0" fontId="4" fillId="19" borderId="51" xfId="0" applyFont="1" applyFill="1" applyBorder="1"/>
    <xf numFmtId="0" fontId="4" fillId="19" borderId="26" xfId="0" applyFont="1" applyFill="1" applyBorder="1" applyAlignment="1">
      <alignment horizontal="left" vertical="center" wrapText="1"/>
    </xf>
    <xf numFmtId="0" fontId="66" fillId="17" borderId="35" xfId="0" applyFont="1" applyFill="1" applyBorder="1" applyAlignment="1">
      <alignment vertical="center"/>
    </xf>
    <xf numFmtId="0" fontId="66" fillId="17" borderId="64" xfId="0" applyFont="1" applyFill="1" applyBorder="1" applyAlignment="1">
      <alignment vertical="center"/>
    </xf>
    <xf numFmtId="0" fontId="66" fillId="7" borderId="18" xfId="0" applyFont="1" applyFill="1" applyBorder="1" applyAlignment="1">
      <alignment horizontal="center" vertical="center"/>
    </xf>
    <xf numFmtId="0" fontId="74" fillId="19" borderId="33" xfId="0" applyFont="1" applyFill="1" applyBorder="1" applyAlignment="1">
      <alignment vertical="center" wrapText="1"/>
    </xf>
    <xf numFmtId="0" fontId="74" fillId="19" borderId="23" xfId="0" applyFont="1" applyFill="1" applyBorder="1" applyAlignment="1">
      <alignment vertical="center" wrapText="1"/>
    </xf>
    <xf numFmtId="0" fontId="6" fillId="17" borderId="39" xfId="0" applyFont="1" applyFill="1" applyBorder="1" applyAlignment="1">
      <alignment horizontal="center" vertical="center"/>
    </xf>
    <xf numFmtId="0" fontId="8" fillId="17" borderId="18" xfId="0" applyFont="1" applyFill="1" applyBorder="1" applyAlignment="1">
      <alignment horizontal="center" vertical="center"/>
    </xf>
    <xf numFmtId="0" fontId="8" fillId="18" borderId="18" xfId="0" applyFont="1" applyFill="1" applyBorder="1" applyAlignment="1">
      <alignment vertical="center" wrapText="1"/>
    </xf>
    <xf numFmtId="0" fontId="8" fillId="17" borderId="35" xfId="0" applyFont="1" applyFill="1" applyBorder="1" applyAlignment="1">
      <alignment vertical="center" wrapText="1"/>
    </xf>
    <xf numFmtId="0" fontId="31" fillId="18" borderId="36" xfId="0" applyFont="1" applyFill="1" applyBorder="1" applyAlignment="1">
      <alignment horizontal="center" vertical="center" wrapText="1"/>
    </xf>
    <xf numFmtId="0" fontId="8" fillId="17" borderId="37" xfId="0" applyFont="1" applyFill="1" applyBorder="1" applyAlignment="1">
      <alignment vertical="center" wrapText="1"/>
    </xf>
    <xf numFmtId="0" fontId="16" fillId="18" borderId="18" xfId="0" applyFont="1" applyFill="1" applyBorder="1" applyAlignment="1">
      <alignment vertical="center" wrapText="1"/>
    </xf>
    <xf numFmtId="0" fontId="8" fillId="18" borderId="37" xfId="0" applyFont="1" applyFill="1" applyBorder="1" applyAlignment="1">
      <alignment vertical="center" wrapText="1"/>
    </xf>
    <xf numFmtId="0" fontId="31" fillId="18" borderId="37" xfId="0" applyFont="1" applyFill="1" applyBorder="1" applyAlignment="1">
      <alignment vertical="center" wrapText="1"/>
    </xf>
    <xf numFmtId="0" fontId="5" fillId="27" borderId="18" xfId="0" applyFont="1" applyFill="1" applyBorder="1" applyAlignment="1">
      <alignment vertical="center" textRotation="90" wrapText="1"/>
    </xf>
    <xf numFmtId="0" fontId="5" fillId="9" borderId="18" xfId="0" applyFont="1" applyFill="1" applyBorder="1" applyAlignment="1">
      <alignment vertical="center" textRotation="90" wrapText="1"/>
    </xf>
    <xf numFmtId="0" fontId="5" fillId="27" borderId="35" xfId="0" applyFont="1" applyFill="1" applyBorder="1" applyAlignment="1">
      <alignment vertical="center" textRotation="90" wrapText="1"/>
    </xf>
    <xf numFmtId="0" fontId="5" fillId="22" borderId="51" xfId="0" applyFont="1" applyFill="1" applyBorder="1" applyAlignment="1">
      <alignment vertical="center" textRotation="90" wrapText="1"/>
    </xf>
    <xf numFmtId="0" fontId="5" fillId="31" borderId="51" xfId="0" applyFont="1" applyFill="1" applyBorder="1" applyAlignment="1">
      <alignment vertical="center" textRotation="90" wrapText="1"/>
    </xf>
    <xf numFmtId="0" fontId="9" fillId="17" borderId="23" xfId="0" applyFont="1" applyFill="1" applyBorder="1" applyAlignment="1">
      <alignment horizontal="center" vertical="center"/>
    </xf>
    <xf numFmtId="0" fontId="5" fillId="17" borderId="18" xfId="0" applyFont="1" applyFill="1" applyBorder="1" applyAlignment="1">
      <alignment horizontal="center" vertical="center"/>
    </xf>
    <xf numFmtId="14" fontId="19" fillId="18" borderId="35" xfId="0" applyNumberFormat="1" applyFont="1" applyFill="1" applyBorder="1" applyAlignment="1">
      <alignment horizontal="center" vertical="center"/>
    </xf>
    <xf numFmtId="0" fontId="75" fillId="17" borderId="35" xfId="0" applyFont="1" applyFill="1" applyBorder="1" applyAlignment="1">
      <alignment vertical="center" wrapText="1"/>
    </xf>
    <xf numFmtId="0" fontId="15" fillId="18" borderId="36" xfId="0" applyFont="1" applyFill="1" applyBorder="1" applyAlignment="1">
      <alignment horizontal="center" vertical="center" wrapText="1"/>
    </xf>
    <xf numFmtId="0" fontId="75" fillId="18" borderId="35" xfId="0" applyFont="1" applyFill="1" applyBorder="1" applyAlignment="1">
      <alignment vertical="center" wrapText="1"/>
    </xf>
    <xf numFmtId="0" fontId="5" fillId="18" borderId="35" xfId="0" applyFont="1" applyFill="1" applyBorder="1" applyAlignment="1">
      <alignment vertical="center" wrapText="1"/>
    </xf>
    <xf numFmtId="0" fontId="4" fillId="27" borderId="18" xfId="0" applyFont="1" applyFill="1" applyBorder="1" applyAlignment="1">
      <alignment horizontal="center" vertical="center"/>
    </xf>
    <xf numFmtId="0" fontId="4" fillId="9" borderId="18" xfId="0" applyFont="1" applyFill="1" applyBorder="1" applyAlignment="1">
      <alignment horizontal="center" vertical="center"/>
    </xf>
    <xf numFmtId="0" fontId="4" fillId="27" borderId="35" xfId="0" applyFont="1" applyFill="1" applyBorder="1" applyAlignment="1">
      <alignment horizontal="center" vertical="center"/>
    </xf>
    <xf numFmtId="0" fontId="19" fillId="27" borderId="36" xfId="0" applyFont="1" applyFill="1" applyBorder="1" applyAlignment="1">
      <alignment horizontal="left" vertical="center"/>
    </xf>
    <xf numFmtId="0" fontId="4" fillId="31" borderId="18" xfId="0" applyFont="1" applyFill="1" applyBorder="1" applyAlignment="1">
      <alignment horizontal="center" vertical="center"/>
    </xf>
    <xf numFmtId="0" fontId="4" fillId="22" borderId="35" xfId="0" applyFont="1" applyFill="1" applyBorder="1" applyAlignment="1">
      <alignment horizontal="center" vertical="center"/>
    </xf>
    <xf numFmtId="0" fontId="5" fillId="17" borderId="18" xfId="0" applyFont="1" applyFill="1" applyBorder="1" applyAlignment="1">
      <alignment vertical="center" wrapText="1"/>
    </xf>
    <xf numFmtId="0" fontId="5" fillId="51" borderId="39" xfId="0" applyFont="1" applyFill="1" applyBorder="1" applyAlignment="1">
      <alignment horizontal="center" vertical="center"/>
    </xf>
    <xf numFmtId="0" fontId="5" fillId="17" borderId="39" xfId="0" applyFont="1" applyFill="1" applyBorder="1" applyAlignment="1">
      <alignment vertical="center" wrapText="1"/>
    </xf>
    <xf numFmtId="0" fontId="36" fillId="18" borderId="52" xfId="0" applyFont="1" applyFill="1" applyBorder="1" applyAlignment="1">
      <alignment vertical="center" wrapText="1"/>
    </xf>
    <xf numFmtId="0" fontId="4" fillId="18" borderId="36" xfId="0" applyFont="1" applyFill="1" applyBorder="1" applyAlignment="1">
      <alignment vertical="center" wrapText="1"/>
    </xf>
    <xf numFmtId="0" fontId="31" fillId="18" borderId="29" xfId="0" applyFont="1" applyFill="1" applyBorder="1" applyAlignment="1">
      <alignment vertical="center" wrapText="1"/>
    </xf>
    <xf numFmtId="0" fontId="35" fillId="17" borderId="29" xfId="0" applyFont="1" applyFill="1" applyBorder="1" applyAlignment="1">
      <alignment horizontal="center" vertical="center" wrapText="1"/>
    </xf>
    <xf numFmtId="0" fontId="76" fillId="27" borderId="51" xfId="0" applyFont="1" applyFill="1" applyBorder="1" applyAlignment="1">
      <alignment horizontal="center" vertical="center" wrapText="1"/>
    </xf>
    <xf numFmtId="0" fontId="76" fillId="9" borderId="51" xfId="0" applyFont="1" applyFill="1" applyBorder="1" applyAlignment="1">
      <alignment horizontal="center" vertical="center" wrapText="1"/>
    </xf>
    <xf numFmtId="0" fontId="76" fillId="27" borderId="18" xfId="0" applyFont="1" applyFill="1" applyBorder="1" applyAlignment="1">
      <alignment horizontal="center" vertical="center" wrapText="1"/>
    </xf>
    <xf numFmtId="0" fontId="76" fillId="9" borderId="18" xfId="0" applyFont="1" applyFill="1" applyBorder="1" applyAlignment="1">
      <alignment horizontal="center" vertical="center" wrapText="1"/>
    </xf>
    <xf numFmtId="0" fontId="1" fillId="19" borderId="26" xfId="0" applyFont="1" applyFill="1" applyBorder="1" applyAlignment="1">
      <alignment horizontal="center" vertical="center"/>
    </xf>
    <xf numFmtId="0" fontId="3" fillId="19" borderId="26" xfId="0" applyFont="1" applyFill="1" applyBorder="1" applyAlignment="1">
      <alignment horizontal="center" vertical="center"/>
    </xf>
    <xf numFmtId="0" fontId="4" fillId="19" borderId="26" xfId="0" applyFont="1" applyFill="1" applyBorder="1" applyAlignment="1">
      <alignment horizontal="left" vertical="top"/>
    </xf>
    <xf numFmtId="0" fontId="4" fillId="17" borderId="35" xfId="0" applyFont="1" applyFill="1" applyBorder="1" applyAlignment="1">
      <alignment vertical="center"/>
    </xf>
    <xf numFmtId="0" fontId="4" fillId="17" borderId="64" xfId="0" applyFont="1" applyFill="1" applyBorder="1" applyAlignment="1">
      <alignment vertical="center"/>
    </xf>
    <xf numFmtId="0" fontId="66" fillId="16" borderId="64" xfId="0" applyFont="1" applyFill="1" applyBorder="1" applyAlignment="1">
      <alignment vertical="center"/>
    </xf>
    <xf numFmtId="0" fontId="4" fillId="18" borderId="18" xfId="0" applyFont="1" applyFill="1" applyBorder="1" applyAlignment="1">
      <alignment horizontal="center" vertical="center"/>
    </xf>
    <xf numFmtId="0" fontId="8" fillId="51" borderId="18" xfId="0" applyFont="1" applyFill="1" applyBorder="1" applyAlignment="1">
      <alignment horizontal="center" vertical="center"/>
    </xf>
    <xf numFmtId="0" fontId="8" fillId="17" borderId="18" xfId="0" applyFont="1" applyFill="1" applyBorder="1" applyAlignment="1">
      <alignment vertical="center" wrapText="1"/>
    </xf>
    <xf numFmtId="0" fontId="31" fillId="17" borderId="18" xfId="0" applyFont="1" applyFill="1" applyBorder="1" applyAlignment="1">
      <alignment vertical="center" wrapText="1"/>
    </xf>
    <xf numFmtId="0" fontId="66" fillId="27" borderId="18" xfId="0" applyFont="1" applyFill="1" applyBorder="1" applyAlignment="1">
      <alignment horizontal="center" vertical="center" wrapText="1"/>
    </xf>
    <xf numFmtId="0" fontId="66" fillId="9" borderId="18"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5" fillId="51" borderId="18" xfId="0" applyFont="1" applyFill="1" applyBorder="1" applyAlignment="1">
      <alignment horizontal="center" vertical="center"/>
    </xf>
    <xf numFmtId="14" fontId="19" fillId="17" borderId="35" xfId="0" applyNumberFormat="1" applyFont="1" applyFill="1" applyBorder="1" applyAlignment="1">
      <alignment horizontal="center" vertical="center"/>
    </xf>
    <xf numFmtId="14" fontId="31" fillId="18" borderId="35" xfId="0" applyNumberFormat="1" applyFont="1" applyFill="1" applyBorder="1" applyAlignment="1">
      <alignment horizontal="center" vertical="center" wrapText="1"/>
    </xf>
    <xf numFmtId="0" fontId="75" fillId="18" borderId="36" xfId="0" applyFont="1" applyFill="1" applyBorder="1" applyAlignment="1">
      <alignment vertical="center" wrapText="1"/>
    </xf>
    <xf numFmtId="0" fontId="41" fillId="18" borderId="36" xfId="0" applyFont="1" applyFill="1" applyBorder="1" applyAlignment="1">
      <alignment horizontal="center" vertical="center" wrapText="1"/>
    </xf>
    <xf numFmtId="0" fontId="41" fillId="17" borderId="18" xfId="0" applyFont="1" applyFill="1" applyBorder="1" applyAlignment="1">
      <alignment horizontal="center" vertical="center" wrapText="1"/>
    </xf>
    <xf numFmtId="0" fontId="15" fillId="27" borderId="36" xfId="0" applyFont="1" applyFill="1" applyBorder="1" applyAlignment="1">
      <alignment horizontal="center" vertical="center" wrapText="1"/>
    </xf>
    <xf numFmtId="0" fontId="15" fillId="9" borderId="36" xfId="0" applyFont="1" applyFill="1" applyBorder="1" applyAlignment="1">
      <alignment horizontal="center" vertical="center" wrapText="1"/>
    </xf>
    <xf numFmtId="0" fontId="6" fillId="10" borderId="18" xfId="0" applyFont="1" applyFill="1" applyBorder="1" applyAlignment="1">
      <alignment horizontal="center" vertical="center"/>
    </xf>
    <xf numFmtId="0" fontId="14" fillId="9" borderId="18" xfId="0" applyFont="1" applyFill="1" applyBorder="1" applyAlignment="1">
      <alignment horizontal="center" vertical="center" wrapText="1"/>
    </xf>
    <xf numFmtId="0" fontId="6" fillId="27" borderId="18" xfId="0" applyFont="1" applyFill="1" applyBorder="1" applyAlignment="1">
      <alignment horizontal="center" vertical="center" wrapText="1"/>
    </xf>
    <xf numFmtId="0" fontId="78" fillId="57" borderId="18" xfId="0" applyFont="1" applyFill="1" applyBorder="1" applyAlignment="1">
      <alignment horizontal="center" vertical="center"/>
    </xf>
    <xf numFmtId="0" fontId="79" fillId="3" borderId="18" xfId="0" applyFont="1" applyFill="1" applyBorder="1" applyAlignment="1">
      <alignment horizontal="center" vertical="center" wrapText="1"/>
    </xf>
    <xf numFmtId="0" fontId="37" fillId="58" borderId="39" xfId="0" applyFont="1" applyFill="1" applyBorder="1" applyAlignment="1">
      <alignment horizontal="center" vertical="center"/>
    </xf>
    <xf numFmtId="0" fontId="16" fillId="59" borderId="52" xfId="0" applyFont="1" applyFill="1" applyBorder="1" applyAlignment="1">
      <alignment vertical="center" wrapText="1"/>
    </xf>
    <xf numFmtId="0" fontId="8" fillId="58" borderId="52" xfId="0" applyFont="1" applyFill="1" applyBorder="1" applyAlignment="1">
      <alignment vertical="center" wrapText="1"/>
    </xf>
    <xf numFmtId="0" fontId="8" fillId="59" borderId="52" xfId="0" applyFont="1" applyFill="1" applyBorder="1" applyAlignment="1">
      <alignment vertical="center" wrapText="1"/>
    </xf>
    <xf numFmtId="0" fontId="31" fillId="58" borderId="52" xfId="0" applyFont="1" applyFill="1" applyBorder="1" applyAlignment="1">
      <alignment vertical="center" wrapText="1"/>
    </xf>
    <xf numFmtId="0" fontId="16" fillId="3" borderId="18" xfId="0" applyFont="1" applyFill="1" applyBorder="1" applyAlignment="1">
      <alignment vertical="center" wrapText="1"/>
    </xf>
    <xf numFmtId="0" fontId="4" fillId="59" borderId="52" xfId="0" applyFont="1" applyFill="1" applyBorder="1" applyAlignment="1">
      <alignment vertical="center" wrapText="1"/>
    </xf>
    <xf numFmtId="0" fontId="4" fillId="58" borderId="18" xfId="0" applyFont="1" applyFill="1" applyBorder="1" applyAlignment="1">
      <alignment horizontal="center" vertical="center"/>
    </xf>
    <xf numFmtId="14" fontId="3" fillId="59" borderId="18" xfId="0" applyNumberFormat="1" applyFont="1" applyFill="1" applyBorder="1" applyAlignment="1">
      <alignment horizontal="center" vertical="center"/>
    </xf>
    <xf numFmtId="0" fontId="19" fillId="59" borderId="35" xfId="0" applyFont="1" applyFill="1" applyBorder="1" applyAlignment="1">
      <alignment horizontal="left" vertical="center" wrapText="1"/>
    </xf>
    <xf numFmtId="0" fontId="41" fillId="58" borderId="35" xfId="0" applyFont="1" applyFill="1" applyBorder="1" applyAlignment="1">
      <alignment horizontal="center" vertical="center" wrapText="1"/>
    </xf>
    <xf numFmtId="0" fontId="5" fillId="3" borderId="31" xfId="0" applyFont="1" applyFill="1" applyBorder="1" applyAlignment="1">
      <alignment vertical="center" wrapText="1"/>
    </xf>
    <xf numFmtId="0" fontId="5" fillId="0" borderId="0" xfId="0" applyFont="1"/>
    <xf numFmtId="0" fontId="4" fillId="0" borderId="0" xfId="0" applyFont="1" applyAlignment="1">
      <alignment horizontal="center" vertical="center" wrapText="1"/>
    </xf>
    <xf numFmtId="0" fontId="9" fillId="3" borderId="18" xfId="0" applyFont="1" applyFill="1" applyBorder="1" applyAlignment="1">
      <alignment vertical="center" wrapText="1"/>
    </xf>
    <xf numFmtId="0" fontId="5" fillId="2" borderId="57" xfId="0" applyFont="1" applyFill="1" applyBorder="1" applyAlignment="1">
      <alignment vertical="center" wrapText="1"/>
    </xf>
    <xf numFmtId="0" fontId="61" fillId="2" borderId="18" xfId="0" applyFont="1" applyFill="1" applyBorder="1" applyAlignment="1">
      <alignment vertical="center" wrapText="1"/>
    </xf>
    <xf numFmtId="0" fontId="35" fillId="2" borderId="35" xfId="0" applyFont="1" applyFill="1" applyBorder="1" applyAlignment="1">
      <alignment horizontal="center" vertical="center" wrapText="1"/>
    </xf>
    <xf numFmtId="0" fontId="82" fillId="2" borderId="35" xfId="0" applyFont="1" applyFill="1" applyBorder="1" applyAlignment="1">
      <alignment horizontal="center" vertical="center" wrapText="1"/>
    </xf>
    <xf numFmtId="0" fontId="14" fillId="65" borderId="57" xfId="0" applyFont="1" applyFill="1" applyBorder="1" applyAlignment="1">
      <alignment vertical="center" wrapText="1"/>
    </xf>
    <xf numFmtId="0" fontId="61" fillId="65" borderId="18" xfId="0" applyFont="1" applyFill="1" applyBorder="1" applyAlignment="1">
      <alignment vertical="center" wrapText="1"/>
    </xf>
    <xf numFmtId="0" fontId="82" fillId="65" borderId="18" xfId="0" applyFont="1" applyFill="1" applyBorder="1" applyAlignment="1">
      <alignment horizontal="center" vertical="center" wrapText="1"/>
    </xf>
    <xf numFmtId="0" fontId="83" fillId="3" borderId="18" xfId="0" applyFont="1" applyFill="1" applyBorder="1" applyAlignment="1">
      <alignment horizontal="center" vertical="center" wrapText="1"/>
    </xf>
    <xf numFmtId="0" fontId="61" fillId="22" borderId="18" xfId="0" applyFont="1" applyFill="1" applyBorder="1" applyAlignment="1">
      <alignment vertical="center" wrapText="1"/>
    </xf>
    <xf numFmtId="0" fontId="82" fillId="22" borderId="35" xfId="0" applyFont="1" applyFill="1" applyBorder="1" applyAlignment="1">
      <alignment horizontal="center" vertical="center" wrapText="1"/>
    </xf>
    <xf numFmtId="0" fontId="5" fillId="22" borderId="57" xfId="0" applyFont="1" applyFill="1" applyBorder="1" applyAlignment="1">
      <alignment vertical="center" wrapText="1"/>
    </xf>
    <xf numFmtId="0" fontId="84" fillId="22" borderId="35" xfId="0" applyFont="1" applyFill="1" applyBorder="1" applyAlignment="1">
      <alignment horizontal="center" vertical="center" wrapText="1"/>
    </xf>
    <xf numFmtId="0" fontId="14" fillId="66" borderId="57" xfId="0" applyFont="1" applyFill="1" applyBorder="1" applyAlignment="1">
      <alignment vertical="center" wrapText="1"/>
    </xf>
    <xf numFmtId="0" fontId="85" fillId="66" borderId="18" xfId="0" applyFont="1" applyFill="1" applyBorder="1" applyAlignment="1">
      <alignment vertical="center" wrapText="1"/>
    </xf>
    <xf numFmtId="0" fontId="84" fillId="66" borderId="35" xfId="0" applyFont="1" applyFill="1" applyBorder="1" applyAlignment="1">
      <alignment horizontal="center" vertical="center" wrapText="1"/>
    </xf>
    <xf numFmtId="0" fontId="30" fillId="2" borderId="5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1" fillId="2" borderId="35"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86" fillId="2" borderId="35" xfId="0" applyFont="1" applyFill="1" applyBorder="1" applyAlignment="1">
      <alignment horizontal="center" vertical="center" wrapText="1"/>
    </xf>
    <xf numFmtId="0" fontId="16" fillId="65" borderId="57" xfId="0" applyFont="1" applyFill="1" applyBorder="1" applyAlignment="1">
      <alignment horizontal="center" vertical="center" wrapText="1"/>
    </xf>
    <xf numFmtId="0" fontId="87" fillId="65" borderId="18" xfId="0" applyFont="1" applyFill="1" applyBorder="1" applyAlignment="1">
      <alignment horizontal="center" vertical="center" wrapText="1"/>
    </xf>
    <xf numFmtId="0" fontId="86" fillId="65" borderId="18"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6" fillId="22" borderId="18" xfId="0" applyFont="1" applyFill="1" applyBorder="1" applyAlignment="1">
      <alignment horizontal="center" vertical="center" wrapText="1"/>
    </xf>
    <xf numFmtId="0" fontId="33" fillId="22" borderId="18" xfId="0" applyFont="1" applyFill="1" applyBorder="1" applyAlignment="1">
      <alignment horizontal="center" vertical="center" wrapText="1"/>
    </xf>
    <xf numFmtId="0" fontId="86" fillId="22" borderId="35" xfId="0" applyFont="1" applyFill="1" applyBorder="1" applyAlignment="1">
      <alignment horizontal="center" vertical="center" wrapText="1"/>
    </xf>
    <xf numFmtId="0" fontId="16" fillId="22" borderId="57" xfId="0" applyFont="1" applyFill="1" applyBorder="1" applyAlignment="1">
      <alignment horizontal="center" vertical="center" wrapText="1"/>
    </xf>
    <xf numFmtId="0" fontId="88" fillId="22" borderId="35" xfId="0" applyFont="1" applyFill="1" applyBorder="1" applyAlignment="1">
      <alignment horizontal="center" vertical="center" wrapText="1"/>
    </xf>
    <xf numFmtId="0" fontId="16" fillId="66" borderId="57" xfId="0" applyFont="1" applyFill="1" applyBorder="1" applyAlignment="1">
      <alignment horizontal="center" vertical="center" wrapText="1"/>
    </xf>
    <xf numFmtId="0" fontId="33" fillId="66" borderId="18" xfId="0" applyFont="1" applyFill="1" applyBorder="1" applyAlignment="1">
      <alignment horizontal="center" vertical="center" wrapText="1"/>
    </xf>
    <xf numFmtId="0" fontId="88" fillId="66" borderId="18" xfId="0" applyFont="1" applyFill="1" applyBorder="1" applyAlignment="1">
      <alignment horizontal="center" vertical="center" wrapText="1"/>
    </xf>
    <xf numFmtId="0" fontId="1" fillId="65" borderId="57" xfId="0" applyFont="1" applyFill="1" applyBorder="1" applyAlignment="1">
      <alignment horizontal="center" vertical="center" wrapText="1"/>
    </xf>
    <xf numFmtId="0" fontId="89" fillId="65" borderId="18" xfId="0" applyFont="1" applyFill="1" applyBorder="1" applyAlignment="1">
      <alignment horizontal="center" vertical="center" wrapText="1"/>
    </xf>
    <xf numFmtId="0" fontId="90" fillId="65" borderId="35" xfId="0" applyFont="1" applyFill="1" applyBorder="1" applyAlignment="1">
      <alignment horizontal="center" vertical="center" wrapText="1"/>
    </xf>
    <xf numFmtId="0" fontId="91" fillId="65" borderId="35" xfId="0" applyFont="1" applyFill="1" applyBorder="1" applyAlignment="1">
      <alignment horizontal="center" vertical="center" wrapText="1"/>
    </xf>
    <xf numFmtId="0" fontId="91" fillId="65" borderId="18" xfId="0" applyFont="1" applyFill="1" applyBorder="1" applyAlignment="1">
      <alignment horizontal="center" vertical="center" wrapText="1"/>
    </xf>
    <xf numFmtId="0" fontId="92" fillId="65" borderId="18"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1" fillId="66" borderId="57" xfId="0" applyFont="1" applyFill="1" applyBorder="1" applyAlignment="1">
      <alignment horizontal="center" vertical="center" wrapText="1"/>
    </xf>
    <xf numFmtId="0" fontId="89" fillId="66" borderId="18" xfId="0" applyFont="1" applyFill="1" applyBorder="1" applyAlignment="1">
      <alignment horizontal="center" vertical="center" wrapText="1"/>
    </xf>
    <xf numFmtId="0" fontId="91" fillId="66" borderId="18" xfId="0" applyFont="1" applyFill="1" applyBorder="1" applyAlignment="1">
      <alignment horizontal="center" vertical="center" wrapText="1"/>
    </xf>
    <xf numFmtId="0" fontId="93" fillId="66" borderId="18" xfId="0" applyFont="1" applyFill="1" applyBorder="1" applyAlignment="1">
      <alignment horizontal="center" vertical="center" wrapText="1"/>
    </xf>
    <xf numFmtId="0" fontId="80" fillId="3" borderId="18" xfId="0" applyFont="1" applyFill="1" applyBorder="1" applyAlignment="1">
      <alignment horizontal="right"/>
    </xf>
    <xf numFmtId="0" fontId="5" fillId="3" borderId="57" xfId="0" applyFont="1" applyFill="1" applyBorder="1" applyAlignment="1">
      <alignment vertical="center" wrapText="1"/>
    </xf>
    <xf numFmtId="0" fontId="82" fillId="3" borderId="35" xfId="0" applyFont="1" applyFill="1" applyBorder="1" applyAlignment="1">
      <alignment horizontal="center" vertical="center" wrapText="1"/>
    </xf>
    <xf numFmtId="0" fontId="84" fillId="3" borderId="35" xfId="0" applyFont="1" applyFill="1" applyBorder="1" applyAlignment="1">
      <alignment horizontal="center" vertical="center" wrapText="1"/>
    </xf>
    <xf numFmtId="0" fontId="14" fillId="3" borderId="57" xfId="0" applyFont="1" applyFill="1" applyBorder="1" applyAlignment="1">
      <alignment vertical="center" wrapText="1"/>
    </xf>
    <xf numFmtId="0" fontId="8" fillId="3" borderId="35" xfId="0" applyFont="1" applyFill="1" applyBorder="1" applyAlignment="1">
      <alignment vertical="center" wrapText="1"/>
    </xf>
    <xf numFmtId="0" fontId="5" fillId="3" borderId="18" xfId="0" applyFont="1" applyFill="1" applyBorder="1" applyAlignment="1">
      <alignment vertical="center" wrapText="1"/>
    </xf>
    <xf numFmtId="0" fontId="85" fillId="22" borderId="18" xfId="0" applyFont="1" applyFill="1" applyBorder="1" applyAlignment="1">
      <alignment vertical="center" wrapText="1"/>
    </xf>
    <xf numFmtId="0" fontId="30" fillId="3" borderId="57" xfId="0" applyFont="1" applyFill="1" applyBorder="1" applyAlignment="1">
      <alignment horizontal="center" vertical="center" wrapText="1"/>
    </xf>
    <xf numFmtId="0" fontId="86" fillId="3" borderId="35"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88" fillId="3" borderId="18"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86" fillId="3" borderId="18"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91" fillId="3" borderId="18"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91" fillId="3" borderId="35" xfId="0" applyFont="1" applyFill="1" applyBorder="1" applyAlignment="1">
      <alignment horizontal="center" vertical="center" wrapText="1"/>
    </xf>
    <xf numFmtId="0" fontId="93" fillId="3" borderId="18" xfId="0" applyFont="1" applyFill="1" applyBorder="1" applyAlignment="1">
      <alignment horizontal="center" vertical="center" wrapText="1"/>
    </xf>
    <xf numFmtId="0" fontId="80" fillId="3" borderId="26" xfId="0" applyFont="1" applyFill="1" applyBorder="1" applyAlignment="1">
      <alignment horizontal="right"/>
    </xf>
    <xf numFmtId="0" fontId="37" fillId="0" borderId="0" xfId="0" applyFont="1"/>
    <xf numFmtId="0" fontId="4" fillId="0" borderId="0" xfId="0" applyFont="1" applyAlignment="1">
      <alignment horizontal="center" vertical="center"/>
    </xf>
    <xf numFmtId="0" fontId="4" fillId="0" borderId="0" xfId="0" applyFont="1" applyAlignment="1">
      <alignment horizontal="center"/>
    </xf>
    <xf numFmtId="0" fontId="15" fillId="0" borderId="0" xfId="0" applyFont="1" applyAlignment="1">
      <alignment horizontal="center" vertical="center" wrapText="1"/>
    </xf>
    <xf numFmtId="0" fontId="4" fillId="29" borderId="26" xfId="0" applyFont="1" applyFill="1" applyBorder="1"/>
    <xf numFmtId="0" fontId="5" fillId="0" borderId="0" xfId="0" applyFont="1" applyAlignment="1">
      <alignment horizontal="left" vertical="top"/>
    </xf>
    <xf numFmtId="0" fontId="5" fillId="0" borderId="0" xfId="0" applyFont="1" applyAlignment="1">
      <alignment horizontal="center" vertical="top"/>
    </xf>
    <xf numFmtId="0" fontId="85" fillId="0" borderId="0" xfId="0" applyFont="1"/>
    <xf numFmtId="0" fontId="5" fillId="0" borderId="0" xfId="0" applyFont="1" applyAlignment="1">
      <alignment vertical="top"/>
    </xf>
    <xf numFmtId="0" fontId="5" fillId="29" borderId="26" xfId="0" applyFont="1" applyFill="1" applyBorder="1"/>
    <xf numFmtId="0" fontId="4" fillId="45" borderId="26" xfId="0" applyFont="1" applyFill="1" applyBorder="1"/>
    <xf numFmtId="0" fontId="8" fillId="29" borderId="26" xfId="0" applyFont="1" applyFill="1" applyBorder="1"/>
    <xf numFmtId="0" fontId="8" fillId="0" borderId="0" xfId="0" applyFont="1"/>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0" applyFont="1"/>
    <xf numFmtId="0" fontId="95" fillId="0" borderId="0" xfId="0" applyFont="1" applyAlignment="1">
      <alignment vertical="center" wrapText="1"/>
    </xf>
    <xf numFmtId="0" fontId="19" fillId="51" borderId="26" xfId="0" applyFont="1" applyFill="1" applyBorder="1" applyAlignment="1">
      <alignment vertical="center" wrapText="1"/>
    </xf>
    <xf numFmtId="0" fontId="95" fillId="51" borderId="26" xfId="0" applyFont="1" applyFill="1" applyBorder="1" applyAlignment="1">
      <alignment vertical="center" wrapText="1"/>
    </xf>
    <xf numFmtId="0" fontId="4" fillId="30" borderId="26" xfId="0" applyFont="1" applyFill="1" applyBorder="1"/>
    <xf numFmtId="0" fontId="4" fillId="10" borderId="35" xfId="0" applyFont="1" applyFill="1" applyBorder="1"/>
    <xf numFmtId="0" fontId="4" fillId="10" borderId="64" xfId="0" applyFont="1" applyFill="1" applyBorder="1"/>
    <xf numFmtId="0" fontId="4" fillId="10" borderId="31" xfId="0" applyFont="1" applyFill="1" applyBorder="1"/>
    <xf numFmtId="14" fontId="19" fillId="0" borderId="0" xfId="0" applyNumberFormat="1" applyFont="1"/>
    <xf numFmtId="0" fontId="5" fillId="10" borderId="18" xfId="0" applyFont="1" applyFill="1" applyBorder="1" applyAlignment="1">
      <alignment horizontal="center" vertical="center"/>
    </xf>
    <xf numFmtId="0" fontId="5" fillId="31" borderId="18" xfId="0" applyFont="1" applyFill="1" applyBorder="1" applyAlignment="1">
      <alignment horizontal="center" vertical="center" wrapText="1"/>
    </xf>
    <xf numFmtId="0" fontId="19" fillId="31" borderId="18" xfId="0" applyFont="1" applyFill="1" applyBorder="1" applyAlignment="1">
      <alignment vertical="center" wrapText="1"/>
    </xf>
    <xf numFmtId="0" fontId="19" fillId="22" borderId="18" xfId="0" applyFont="1" applyFill="1" applyBorder="1" applyAlignment="1">
      <alignment vertical="center" wrapText="1"/>
    </xf>
    <xf numFmtId="0" fontId="4" fillId="31" borderId="18" xfId="0" applyFont="1" applyFill="1" applyBorder="1"/>
    <xf numFmtId="0" fontId="6" fillId="9" borderId="18" xfId="0" applyFont="1" applyFill="1" applyBorder="1" applyAlignment="1">
      <alignment horizontal="center" vertical="center" wrapText="1"/>
    </xf>
    <xf numFmtId="0" fontId="12" fillId="27" borderId="18" xfId="0" applyFont="1" applyFill="1" applyBorder="1" applyAlignment="1">
      <alignment horizontal="center" vertical="center" wrapText="1"/>
    </xf>
    <xf numFmtId="14" fontId="19" fillId="9" borderId="18" xfId="0" applyNumberFormat="1" applyFont="1" applyFill="1" applyBorder="1" applyAlignment="1" applyProtection="1">
      <alignment horizontal="center" vertical="center" wrapText="1"/>
      <protection locked="0"/>
    </xf>
    <xf numFmtId="0" fontId="77" fillId="9" borderId="18" xfId="0" applyFont="1" applyFill="1" applyBorder="1" applyAlignment="1" applyProtection="1">
      <alignment vertical="center" wrapText="1"/>
      <protection locked="0"/>
    </xf>
    <xf numFmtId="0" fontId="14" fillId="9" borderId="18" xfId="0" applyFont="1" applyFill="1" applyBorder="1" applyAlignment="1" applyProtection="1">
      <alignment vertical="center" wrapText="1"/>
      <protection locked="0"/>
    </xf>
    <xf numFmtId="0" fontId="1" fillId="9" borderId="18" xfId="0" applyFont="1" applyFill="1" applyBorder="1" applyAlignment="1" applyProtection="1">
      <alignment horizontal="center" vertical="center" wrapText="1"/>
      <protection locked="0"/>
    </xf>
    <xf numFmtId="0" fontId="0" fillId="0" borderId="0" xfId="0" applyProtection="1">
      <protection locked="0"/>
    </xf>
    <xf numFmtId="14" fontId="19" fillId="27" borderId="18" xfId="0" applyNumberFormat="1" applyFont="1" applyFill="1" applyBorder="1" applyAlignment="1" applyProtection="1">
      <alignment horizontal="center" vertical="center" wrapText="1"/>
      <protection locked="0"/>
    </xf>
    <xf numFmtId="0" fontId="77" fillId="27" borderId="18" xfId="0" applyFont="1" applyFill="1" applyBorder="1" applyAlignment="1" applyProtection="1">
      <alignment vertical="center" wrapText="1"/>
      <protection locked="0"/>
    </xf>
    <xf numFmtId="0" fontId="14" fillId="27" borderId="18" xfId="0" applyFont="1" applyFill="1" applyBorder="1" applyAlignment="1" applyProtection="1">
      <alignment vertical="center" wrapText="1"/>
      <protection locked="0"/>
    </xf>
    <xf numFmtId="0" fontId="1" fillId="27" borderId="18" xfId="0" applyFont="1" applyFill="1" applyBorder="1" applyAlignment="1" applyProtection="1">
      <alignment horizontal="center" vertical="center" wrapText="1"/>
      <protection locked="0"/>
    </xf>
    <xf numFmtId="0" fontId="3" fillId="27" borderId="18" xfId="0" applyFont="1" applyFill="1" applyBorder="1" applyAlignment="1" applyProtection="1">
      <alignment horizontal="center" vertical="center" wrapText="1"/>
      <protection locked="0"/>
    </xf>
    <xf numFmtId="0" fontId="5" fillId="27" borderId="18" xfId="0" applyFont="1" applyFill="1" applyBorder="1" applyAlignment="1" applyProtection="1">
      <alignment vertical="center" wrapText="1"/>
      <protection locked="0"/>
    </xf>
    <xf numFmtId="0" fontId="109" fillId="71" borderId="0" xfId="0" applyFont="1" applyFill="1" applyAlignment="1" applyProtection="1">
      <alignment wrapText="1"/>
      <protection locked="0"/>
    </xf>
    <xf numFmtId="0" fontId="14" fillId="9" borderId="9" xfId="0" applyFont="1" applyFill="1" applyBorder="1" applyAlignment="1">
      <alignment horizontal="left" vertical="center" wrapText="1"/>
    </xf>
    <xf numFmtId="0" fontId="2" fillId="0" borderId="10" xfId="0" applyFont="1" applyBorder="1"/>
    <xf numFmtId="0" fontId="2" fillId="0" borderId="11" xfId="0" applyFont="1" applyBorder="1"/>
    <xf numFmtId="0" fontId="13" fillId="13" borderId="32" xfId="0" applyFont="1" applyFill="1" applyBorder="1" applyAlignment="1">
      <alignment horizontal="left" vertical="center" wrapText="1"/>
    </xf>
    <xf numFmtId="0" fontId="110" fillId="9" borderId="35" xfId="0" applyFont="1" applyFill="1" applyBorder="1" applyAlignment="1">
      <alignment horizontal="left" vertical="center" wrapText="1"/>
    </xf>
    <xf numFmtId="0" fontId="110" fillId="9" borderId="64" xfId="0" applyFont="1" applyFill="1" applyBorder="1" applyAlignment="1">
      <alignment horizontal="left" vertical="center" wrapText="1"/>
    </xf>
    <xf numFmtId="0" fontId="110" fillId="9" borderId="31" xfId="0" applyFont="1" applyFill="1" applyBorder="1" applyAlignment="1">
      <alignment horizontal="left" vertical="center" wrapText="1"/>
    </xf>
    <xf numFmtId="0" fontId="1" fillId="9" borderId="27" xfId="0" applyFont="1" applyFill="1" applyBorder="1" applyAlignment="1">
      <alignment horizontal="center" vertical="center"/>
    </xf>
    <xf numFmtId="0" fontId="2" fillId="0" borderId="20" xfId="0" applyFont="1" applyBorder="1"/>
    <xf numFmtId="0" fontId="2" fillId="0" borderId="28" xfId="0" applyFont="1" applyBorder="1"/>
    <xf numFmtId="0" fontId="10" fillId="10" borderId="7" xfId="0" applyFont="1" applyFill="1" applyBorder="1" applyAlignment="1">
      <alignment horizontal="left" vertical="center"/>
    </xf>
    <xf numFmtId="0" fontId="2" fillId="0" borderId="2" xfId="0" applyFont="1" applyBorder="1"/>
    <xf numFmtId="0" fontId="2" fillId="0" borderId="8" xfId="0" applyFont="1" applyBorder="1"/>
    <xf numFmtId="0" fontId="3" fillId="9" borderId="4" xfId="0" applyFont="1" applyFill="1" applyBorder="1" applyAlignment="1">
      <alignment horizontal="center" vertical="center"/>
    </xf>
    <xf numFmtId="0" fontId="2" fillId="0" borderId="5" xfId="0" applyFont="1" applyBorder="1"/>
    <xf numFmtId="0" fontId="2" fillId="0" borderId="6" xfId="0" applyFont="1" applyBorder="1"/>
    <xf numFmtId="0" fontId="11" fillId="3" borderId="9" xfId="0" applyFont="1" applyFill="1" applyBorder="1" applyAlignment="1">
      <alignment horizontal="left" vertical="center"/>
    </xf>
    <xf numFmtId="0" fontId="2" fillId="0" borderId="25" xfId="0" applyFont="1" applyBorder="1"/>
    <xf numFmtId="0" fontId="3" fillId="10" borderId="35" xfId="0" applyFont="1" applyFill="1" applyBorder="1" applyAlignment="1">
      <alignment vertical="center" wrapText="1"/>
    </xf>
    <xf numFmtId="0" fontId="111" fillId="0" borderId="64" xfId="0" applyFont="1" applyBorder="1"/>
    <xf numFmtId="0" fontId="1" fillId="9" borderId="9" xfId="0" applyFont="1" applyFill="1" applyBorder="1" applyAlignment="1">
      <alignment horizontal="left" vertical="center"/>
    </xf>
    <xf numFmtId="0" fontId="111" fillId="0" borderId="10" xfId="0" applyFont="1" applyBorder="1"/>
    <xf numFmtId="0" fontId="111" fillId="0" borderId="11" xfId="0" applyFont="1" applyBorder="1"/>
    <xf numFmtId="0" fontId="3" fillId="10" borderId="35" xfId="0" applyFont="1" applyFill="1" applyBorder="1" applyAlignment="1">
      <alignment horizontal="left" vertical="center" wrapText="1"/>
    </xf>
    <xf numFmtId="0" fontId="111" fillId="0" borderId="31" xfId="0" applyFont="1" applyBorder="1"/>
    <xf numFmtId="0" fontId="3" fillId="9" borderId="9" xfId="0" applyFont="1" applyFill="1" applyBorder="1" applyAlignment="1">
      <alignment horizontal="left" vertical="center"/>
    </xf>
    <xf numFmtId="0" fontId="3" fillId="9" borderId="9" xfId="0" applyFont="1" applyFill="1" applyBorder="1" applyAlignment="1">
      <alignment vertical="center"/>
    </xf>
    <xf numFmtId="0" fontId="111" fillId="0" borderId="25" xfId="0" applyFont="1" applyBorder="1"/>
    <xf numFmtId="0" fontId="1" fillId="9" borderId="12" xfId="0" applyFont="1" applyFill="1" applyBorder="1" applyAlignment="1">
      <alignment vertical="center"/>
    </xf>
    <xf numFmtId="0" fontId="111" fillId="0" borderId="13" xfId="0" applyFont="1" applyBorder="1"/>
    <xf numFmtId="0" fontId="111" fillId="0" borderId="14" xfId="0" applyFont="1" applyBorder="1"/>
    <xf numFmtId="0" fontId="111" fillId="0" borderId="15" xfId="0" applyFont="1" applyBorder="1"/>
    <xf numFmtId="0" fontId="111" fillId="0" borderId="16" xfId="0" applyFont="1" applyBorder="1"/>
    <xf numFmtId="0" fontId="111" fillId="0" borderId="17" xfId="0" applyFont="1" applyBorder="1"/>
    <xf numFmtId="0" fontId="3" fillId="10" borderId="52" xfId="0" applyFont="1" applyFill="1" applyBorder="1" applyAlignment="1">
      <alignment horizontal="left" vertical="center" wrapText="1"/>
    </xf>
    <xf numFmtId="0" fontId="111" fillId="0" borderId="111" xfId="0" applyFont="1" applyBorder="1"/>
    <xf numFmtId="0" fontId="111" fillId="0" borderId="102" xfId="0" applyFont="1" applyBorder="1"/>
    <xf numFmtId="0" fontId="111" fillId="0" borderId="37" xfId="0" applyFont="1" applyBorder="1"/>
    <xf numFmtId="0" fontId="111" fillId="0" borderId="112" xfId="0" applyFont="1" applyBorder="1"/>
    <xf numFmtId="0" fontId="111" fillId="0" borderId="41" xfId="0" applyFont="1" applyBorder="1"/>
    <xf numFmtId="0" fontId="3" fillId="9" borderId="27" xfId="0" applyFont="1" applyFill="1" applyBorder="1" applyAlignment="1">
      <alignment vertical="center"/>
    </xf>
    <xf numFmtId="0" fontId="111" fillId="0" borderId="20" xfId="0" applyFont="1" applyBorder="1"/>
    <xf numFmtId="0" fontId="111" fillId="0" borderId="21" xfId="0" applyFont="1" applyBorder="1"/>
    <xf numFmtId="0" fontId="12" fillId="5" borderId="27" xfId="0" applyFont="1" applyFill="1" applyBorder="1" applyAlignment="1">
      <alignment horizontal="center" vertical="center"/>
    </xf>
    <xf numFmtId="0" fontId="3" fillId="9" borderId="27" xfId="0" applyFont="1" applyFill="1" applyBorder="1" applyAlignment="1">
      <alignment horizontal="left" vertical="center"/>
    </xf>
    <xf numFmtId="0" fontId="111" fillId="0" borderId="28" xfId="0" applyFont="1" applyBorder="1"/>
    <xf numFmtId="0" fontId="11" fillId="3" borderId="9" xfId="0" applyFont="1" applyFill="1" applyBorder="1" applyAlignment="1">
      <alignment vertical="center"/>
    </xf>
    <xf numFmtId="0" fontId="4" fillId="9" borderId="9" xfId="0" applyFont="1" applyFill="1" applyBorder="1" applyAlignment="1">
      <alignment vertical="center"/>
    </xf>
    <xf numFmtId="0" fontId="14" fillId="9" borderId="35" xfId="0" applyFont="1" applyFill="1" applyBorder="1" applyAlignment="1">
      <alignment horizontal="left" vertical="center" wrapText="1"/>
    </xf>
    <xf numFmtId="0" fontId="2" fillId="0" borderId="64" xfId="0" applyFont="1" applyBorder="1"/>
    <xf numFmtId="0" fontId="2" fillId="0" borderId="31" xfId="0" applyFont="1" applyBorder="1"/>
    <xf numFmtId="0" fontId="14" fillId="2" borderId="9" xfId="0" applyFont="1" applyFill="1" applyBorder="1" applyAlignment="1">
      <alignment horizontal="left" vertical="center" wrapText="1"/>
    </xf>
    <xf numFmtId="0" fontId="14" fillId="12" borderId="9" xfId="0" applyFont="1" applyFill="1" applyBorder="1" applyAlignment="1">
      <alignment horizontal="left" vertical="center" wrapText="1"/>
    </xf>
    <xf numFmtId="0" fontId="4" fillId="12" borderId="9" xfId="0" applyFont="1" applyFill="1" applyBorder="1" applyAlignment="1">
      <alignment vertical="center" wrapText="1"/>
    </xf>
    <xf numFmtId="0" fontId="4" fillId="12" borderId="9" xfId="0" applyFont="1" applyFill="1" applyBorder="1" applyAlignment="1">
      <alignment horizontal="left" vertical="center" wrapText="1"/>
    </xf>
    <xf numFmtId="0" fontId="15" fillId="2" borderId="9"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22" xfId="0" applyFont="1" applyBorder="1"/>
    <xf numFmtId="0" fontId="11" fillId="15" borderId="9" xfId="0" applyFont="1" applyFill="1" applyBorder="1" applyAlignment="1">
      <alignment horizontal="left" vertical="center"/>
    </xf>
    <xf numFmtId="0" fontId="5" fillId="0" borderId="9" xfId="0" applyFont="1" applyBorder="1" applyAlignment="1">
      <alignment wrapText="1"/>
    </xf>
    <xf numFmtId="0" fontId="6" fillId="12" borderId="9" xfId="0" applyFont="1" applyFill="1" applyBorder="1" applyAlignment="1">
      <alignment horizontal="left" vertical="center"/>
    </xf>
    <xf numFmtId="0" fontId="5" fillId="0" borderId="9" xfId="0" applyFont="1" applyBorder="1" applyAlignment="1">
      <alignment horizontal="left" vertical="center"/>
    </xf>
    <xf numFmtId="0" fontId="4" fillId="12" borderId="9" xfId="0" applyFont="1" applyFill="1" applyBorder="1" applyAlignment="1">
      <alignment horizontal="left" vertical="center"/>
    </xf>
    <xf numFmtId="0" fontId="4" fillId="12" borderId="9" xfId="0" applyFont="1" applyFill="1" applyBorder="1" applyAlignment="1">
      <alignment vertical="center"/>
    </xf>
    <xf numFmtId="0" fontId="5" fillId="0" borderId="9" xfId="0" applyFont="1" applyBorder="1" applyAlignment="1">
      <alignment vertical="center" wrapText="1"/>
    </xf>
    <xf numFmtId="0" fontId="6" fillId="12" borderId="12" xfId="0" applyFont="1" applyFill="1" applyBorder="1" applyAlignment="1">
      <alignment vertical="center"/>
    </xf>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5" fillId="0" borderId="12" xfId="0" applyFont="1" applyBorder="1" applyAlignment="1">
      <alignment horizontal="left" vertical="center" wrapText="1"/>
    </xf>
    <xf numFmtId="0" fontId="7" fillId="16" borderId="9" xfId="0" applyFont="1" applyFill="1" applyBorder="1" applyAlignment="1">
      <alignment horizontal="center" vertical="center"/>
    </xf>
    <xf numFmtId="0" fontId="11" fillId="15" borderId="34" xfId="0" applyFont="1" applyFill="1" applyBorder="1" applyAlignment="1">
      <alignment horizontal="center" vertical="center"/>
    </xf>
    <xf numFmtId="0" fontId="4" fillId="12" borderId="9" xfId="0" applyFont="1" applyFill="1" applyBorder="1" applyAlignment="1">
      <alignment wrapText="1"/>
    </xf>
    <xf numFmtId="0" fontId="17" fillId="19" borderId="32" xfId="0" applyFont="1" applyFill="1" applyBorder="1" applyAlignment="1">
      <alignment horizontal="left" vertical="center"/>
    </xf>
    <xf numFmtId="0" fontId="1" fillId="20" borderId="27" xfId="0" applyFont="1" applyFill="1" applyBorder="1" applyAlignment="1">
      <alignment horizontal="center" vertical="center"/>
    </xf>
    <xf numFmtId="0" fontId="1" fillId="20" borderId="1" xfId="0" applyFont="1" applyFill="1" applyBorder="1" applyAlignment="1">
      <alignment horizontal="center" vertical="center"/>
    </xf>
    <xf numFmtId="0" fontId="2" fillId="0" borderId="3" xfId="0" applyFont="1" applyBorder="1"/>
    <xf numFmtId="0" fontId="3" fillId="20" borderId="1" xfId="0" applyFont="1" applyFill="1" applyBorder="1" applyAlignment="1">
      <alignment horizontal="center" vertical="center"/>
    </xf>
    <xf numFmtId="0" fontId="11" fillId="19" borderId="32" xfId="0" applyFont="1" applyFill="1" applyBorder="1" applyAlignment="1">
      <alignment horizontal="left" vertical="center"/>
    </xf>
    <xf numFmtId="0" fontId="21" fillId="21" borderId="44" xfId="0" applyFont="1" applyFill="1" applyBorder="1" applyAlignment="1">
      <alignment horizontal="center" vertical="center" wrapText="1"/>
    </xf>
    <xf numFmtId="0" fontId="2" fillId="0" borderId="45" xfId="0" applyFont="1" applyBorder="1"/>
    <xf numFmtId="0" fontId="2" fillId="0" borderId="46" xfId="0" applyFont="1" applyBorder="1"/>
    <xf numFmtId="0" fontId="2" fillId="0" borderId="47" xfId="0" applyFont="1" applyBorder="1"/>
    <xf numFmtId="0" fontId="1" fillId="22" borderId="27" xfId="0" applyFont="1" applyFill="1" applyBorder="1" applyAlignment="1">
      <alignment horizontal="center" vertical="center"/>
    </xf>
    <xf numFmtId="0" fontId="1" fillId="22" borderId="1" xfId="0" applyFont="1" applyFill="1" applyBorder="1" applyAlignment="1">
      <alignment horizontal="center" vertical="center"/>
    </xf>
    <xf numFmtId="0" fontId="3" fillId="22" borderId="1" xfId="0" applyFont="1" applyFill="1" applyBorder="1" applyAlignment="1">
      <alignment horizontal="center" vertical="center"/>
    </xf>
    <xf numFmtId="0" fontId="11" fillId="23" borderId="1" xfId="0" applyFont="1" applyFill="1" applyBorder="1" applyAlignment="1">
      <alignment horizontal="left" vertical="center"/>
    </xf>
    <xf numFmtId="0" fontId="6" fillId="22" borderId="12" xfId="0" applyFont="1" applyFill="1" applyBorder="1" applyAlignment="1">
      <alignment vertical="center"/>
    </xf>
    <xf numFmtId="0" fontId="4" fillId="22" borderId="9" xfId="0" applyFont="1" applyFill="1" applyBorder="1" applyAlignment="1">
      <alignment vertical="center"/>
    </xf>
    <xf numFmtId="0" fontId="7" fillId="5" borderId="9" xfId="0" applyFont="1" applyFill="1" applyBorder="1" applyAlignment="1">
      <alignment horizontal="center" vertical="center"/>
    </xf>
    <xf numFmtId="0" fontId="4" fillId="22" borderId="9" xfId="0" applyFont="1" applyFill="1" applyBorder="1" applyAlignment="1">
      <alignment horizontal="left" vertical="center"/>
    </xf>
    <xf numFmtId="0" fontId="17" fillId="21" borderId="44" xfId="0" applyFont="1" applyFill="1" applyBorder="1" applyAlignment="1">
      <alignment horizontal="center" vertical="center" wrapText="1"/>
    </xf>
    <xf numFmtId="0" fontId="4" fillId="4" borderId="9" xfId="0" applyFont="1" applyFill="1" applyBorder="1" applyAlignment="1">
      <alignment wrapText="1"/>
    </xf>
    <xf numFmtId="0" fontId="6" fillId="22" borderId="9" xfId="0" applyFont="1" applyFill="1" applyBorder="1" applyAlignment="1">
      <alignment horizontal="left" vertical="center"/>
    </xf>
    <xf numFmtId="0" fontId="4" fillId="4" borderId="9" xfId="0" applyFont="1" applyFill="1" applyBorder="1" applyAlignment="1">
      <alignment horizontal="left" vertical="center" wrapText="1"/>
    </xf>
    <xf numFmtId="0" fontId="4" fillId="4" borderId="9" xfId="0" applyFont="1" applyFill="1" applyBorder="1" applyAlignment="1">
      <alignment vertical="center" wrapText="1"/>
    </xf>
    <xf numFmtId="0" fontId="4" fillId="4" borderId="12" xfId="0" applyFont="1" applyFill="1" applyBorder="1" applyAlignment="1">
      <alignment horizontal="left" vertical="center" wrapText="1"/>
    </xf>
    <xf numFmtId="14" fontId="6" fillId="0" borderId="9" xfId="0" applyNumberFormat="1" applyFont="1" applyBorder="1" applyAlignment="1">
      <alignment vertical="center" wrapText="1"/>
    </xf>
    <xf numFmtId="0" fontId="4" fillId="0" borderId="15" xfId="0" applyFont="1" applyBorder="1" applyAlignment="1">
      <alignment vertical="center" wrapText="1"/>
    </xf>
    <xf numFmtId="0" fontId="24" fillId="0" borderId="15" xfId="0" applyFont="1" applyBorder="1" applyAlignment="1">
      <alignment horizontal="center" vertical="center"/>
    </xf>
    <xf numFmtId="0" fontId="4" fillId="0" borderId="15" xfId="0" applyFont="1" applyBorder="1" applyAlignment="1">
      <alignment horizontal="center" vertical="center"/>
    </xf>
    <xf numFmtId="0" fontId="23" fillId="21" borderId="44" xfId="0" applyFont="1" applyFill="1" applyBorder="1" applyAlignment="1">
      <alignment horizontal="center" vertical="center" wrapText="1"/>
    </xf>
    <xf numFmtId="14" fontId="6" fillId="0" borderId="48" xfId="0" applyNumberFormat="1" applyFont="1" applyBorder="1" applyAlignment="1">
      <alignment vertical="center" wrapText="1"/>
    </xf>
    <xf numFmtId="0" fontId="2" fillId="0" borderId="49" xfId="0" applyFont="1" applyBorder="1"/>
    <xf numFmtId="0" fontId="2" fillId="0" borderId="50" xfId="0" applyFont="1" applyBorder="1"/>
    <xf numFmtId="0" fontId="1" fillId="24" borderId="27" xfId="0" applyFont="1" applyFill="1" applyBorder="1" applyAlignment="1">
      <alignment horizontal="center" vertical="center"/>
    </xf>
    <xf numFmtId="0" fontId="1" fillId="24" borderId="1" xfId="0" applyFont="1" applyFill="1" applyBorder="1" applyAlignment="1">
      <alignment horizontal="center" vertical="center"/>
    </xf>
    <xf numFmtId="0" fontId="3" fillId="24" borderId="1" xfId="0" applyFont="1" applyFill="1" applyBorder="1" applyAlignment="1">
      <alignment horizontal="center" vertical="center"/>
    </xf>
    <xf numFmtId="0" fontId="11" fillId="25" borderId="1" xfId="0" applyFont="1" applyFill="1" applyBorder="1" applyAlignment="1">
      <alignment horizontal="left" vertical="center"/>
    </xf>
    <xf numFmtId="0" fontId="4" fillId="26" borderId="9" xfId="0" applyFont="1" applyFill="1" applyBorder="1" applyAlignment="1">
      <alignment wrapText="1"/>
    </xf>
    <xf numFmtId="0" fontId="6" fillId="24" borderId="9" xfId="0" applyFont="1" applyFill="1" applyBorder="1" applyAlignment="1">
      <alignment horizontal="left" vertical="center"/>
    </xf>
    <xf numFmtId="0" fontId="4" fillId="26" borderId="9" xfId="0" applyFont="1" applyFill="1" applyBorder="1" applyAlignment="1">
      <alignment horizontal="left" vertical="center" wrapText="1"/>
    </xf>
    <xf numFmtId="0" fontId="4" fillId="24" borderId="9" xfId="0" applyFont="1" applyFill="1" applyBorder="1" applyAlignment="1">
      <alignment horizontal="left" vertical="center"/>
    </xf>
    <xf numFmtId="0" fontId="4" fillId="24" borderId="9" xfId="0" applyFont="1" applyFill="1" applyBorder="1" applyAlignment="1">
      <alignment vertical="center"/>
    </xf>
    <xf numFmtId="0" fontId="4" fillId="26" borderId="9" xfId="0" applyFont="1" applyFill="1" applyBorder="1" applyAlignment="1">
      <alignment vertical="center" wrapText="1"/>
    </xf>
    <xf numFmtId="0" fontId="6" fillId="24" borderId="12" xfId="0" applyFont="1" applyFill="1" applyBorder="1" applyAlignment="1">
      <alignment vertical="center"/>
    </xf>
    <xf numFmtId="0" fontId="4" fillId="26" borderId="12" xfId="0" applyFont="1" applyFill="1" applyBorder="1" applyAlignment="1">
      <alignment horizontal="left" vertical="center" wrapText="1"/>
    </xf>
    <xf numFmtId="0" fontId="22" fillId="3" borderId="34" xfId="0" applyFont="1" applyFill="1" applyBorder="1"/>
    <xf numFmtId="0" fontId="4" fillId="14" borderId="9" xfId="0" applyFont="1" applyFill="1" applyBorder="1" applyAlignment="1">
      <alignment vertical="center" wrapText="1"/>
    </xf>
    <xf numFmtId="0" fontId="26" fillId="9" borderId="9" xfId="0" applyFont="1" applyFill="1" applyBorder="1" applyAlignment="1">
      <alignment horizontal="center" vertical="center"/>
    </xf>
    <xf numFmtId="0" fontId="4" fillId="9" borderId="9" xfId="0" applyFont="1" applyFill="1" applyBorder="1" applyAlignment="1">
      <alignment vertical="center" wrapText="1"/>
    </xf>
    <xf numFmtId="0" fontId="26" fillId="14" borderId="9" xfId="0" applyFont="1" applyFill="1" applyBorder="1" applyAlignment="1">
      <alignment horizontal="center" vertical="center"/>
    </xf>
    <xf numFmtId="0" fontId="35" fillId="31" borderId="9" xfId="0" applyFont="1" applyFill="1" applyBorder="1" applyAlignment="1">
      <alignment vertical="center" wrapText="1"/>
    </xf>
    <xf numFmtId="0" fontId="31" fillId="31" borderId="9" xfId="0" applyFont="1" applyFill="1" applyBorder="1" applyAlignment="1">
      <alignment horizontal="center" vertical="center" wrapText="1"/>
    </xf>
    <xf numFmtId="0" fontId="3" fillId="22" borderId="4" xfId="0" applyFont="1" applyFill="1" applyBorder="1" applyAlignment="1">
      <alignment horizontal="center" vertical="center"/>
    </xf>
    <xf numFmtId="0" fontId="11" fillId="23" borderId="9" xfId="0" applyFont="1" applyFill="1" applyBorder="1" applyAlignment="1">
      <alignment horizontal="left" vertical="center"/>
    </xf>
    <xf numFmtId="0" fontId="4" fillId="22" borderId="27" xfId="0" applyFont="1" applyFill="1" applyBorder="1" applyAlignment="1">
      <alignment vertical="center"/>
    </xf>
    <xf numFmtId="0" fontId="7" fillId="5" borderId="27" xfId="0" applyFont="1" applyFill="1" applyBorder="1" applyAlignment="1">
      <alignment horizontal="center" vertical="center"/>
    </xf>
    <xf numFmtId="0" fontId="7" fillId="5" borderId="27" xfId="0" applyFont="1" applyFill="1" applyBorder="1" applyAlignment="1">
      <alignment horizontal="center"/>
    </xf>
    <xf numFmtId="0" fontId="4" fillId="22" borderId="27" xfId="0" applyFont="1" applyFill="1" applyBorder="1" applyAlignment="1">
      <alignment horizontal="left" vertical="center"/>
    </xf>
    <xf numFmtId="0" fontId="4" fillId="4" borderId="32" xfId="0" applyFont="1" applyFill="1" applyBorder="1" applyAlignment="1">
      <alignment horizontal="left" vertical="center" wrapText="1"/>
    </xf>
    <xf numFmtId="0" fontId="2" fillId="0" borderId="21" xfId="0" applyFont="1" applyBorder="1"/>
    <xf numFmtId="0" fontId="11" fillId="23" borderId="32" xfId="0" applyFont="1" applyFill="1" applyBorder="1" applyAlignment="1">
      <alignment horizontal="left" vertical="center"/>
    </xf>
    <xf numFmtId="0" fontId="11" fillId="23" borderId="7" xfId="0" applyFont="1" applyFill="1" applyBorder="1" applyAlignment="1">
      <alignment horizontal="left" vertical="center"/>
    </xf>
    <xf numFmtId="0" fontId="4" fillId="4" borderId="9" xfId="0" applyFont="1" applyFill="1" applyBorder="1" applyAlignment="1">
      <alignment horizontal="left" vertical="center"/>
    </xf>
    <xf numFmtId="0" fontId="6" fillId="22" borderId="27" xfId="0" applyFont="1" applyFill="1" applyBorder="1" applyAlignment="1">
      <alignment horizontal="left" vertical="center"/>
    </xf>
    <xf numFmtId="0" fontId="4" fillId="22" borderId="4" xfId="0" applyFont="1" applyFill="1" applyBorder="1" applyAlignment="1">
      <alignment horizontal="left" vertical="center"/>
    </xf>
    <xf numFmtId="0" fontId="4" fillId="45" borderId="12" xfId="0" applyFont="1" applyFill="1" applyBorder="1" applyAlignment="1">
      <alignment horizontal="center" vertical="center"/>
    </xf>
    <xf numFmtId="0" fontId="7" fillId="5" borderId="9" xfId="0" applyFont="1" applyFill="1" applyBorder="1" applyAlignment="1">
      <alignment horizontal="center"/>
    </xf>
    <xf numFmtId="0" fontId="11" fillId="32" borderId="9" xfId="0" applyFont="1" applyFill="1" applyBorder="1" applyAlignment="1">
      <alignment horizontal="left" vertical="center"/>
    </xf>
    <xf numFmtId="0" fontId="11" fillId="23" borderId="9" xfId="0" applyFont="1" applyFill="1" applyBorder="1" applyAlignment="1">
      <alignment horizontal="center" vertical="center"/>
    </xf>
    <xf numFmtId="0" fontId="11" fillId="32" borderId="9" xfId="0" applyFont="1" applyFill="1" applyBorder="1" applyAlignment="1">
      <alignment horizontal="center" vertical="center"/>
    </xf>
    <xf numFmtId="0" fontId="12" fillId="45" borderId="12" xfId="0" applyFont="1" applyFill="1" applyBorder="1" applyAlignment="1">
      <alignment vertical="center" wrapText="1"/>
    </xf>
    <xf numFmtId="0" fontId="4" fillId="48" borderId="12" xfId="0" applyFont="1" applyFill="1" applyBorder="1" applyAlignment="1">
      <alignment vertical="center" wrapText="1"/>
    </xf>
    <xf numFmtId="0" fontId="4" fillId="45" borderId="12" xfId="0" applyFont="1" applyFill="1" applyBorder="1" applyAlignment="1">
      <alignment vertical="center" wrapText="1"/>
    </xf>
    <xf numFmtId="0" fontId="4" fillId="44" borderId="12" xfId="0" applyFont="1" applyFill="1" applyBorder="1" applyAlignment="1">
      <alignment vertical="center" wrapText="1"/>
    </xf>
    <xf numFmtId="0" fontId="11" fillId="23" borderId="24" xfId="0" applyFont="1" applyFill="1" applyBorder="1" applyAlignment="1">
      <alignment horizontal="left" vertical="center"/>
    </xf>
    <xf numFmtId="0" fontId="2" fillId="0" borderId="59" xfId="0" applyFont="1" applyBorder="1"/>
    <xf numFmtId="0" fontId="32" fillId="32" borderId="24" xfId="0" applyFont="1" applyFill="1" applyBorder="1" applyAlignment="1">
      <alignment horizontal="left" vertical="center"/>
    </xf>
    <xf numFmtId="0" fontId="32" fillId="32" borderId="24" xfId="0" applyFont="1" applyFill="1" applyBorder="1" applyAlignment="1">
      <alignment horizontal="center" vertical="center"/>
    </xf>
    <xf numFmtId="0" fontId="32" fillId="23" borderId="24" xfId="0" applyFont="1" applyFill="1" applyBorder="1" applyAlignment="1">
      <alignment horizontal="center" vertical="center"/>
    </xf>
    <xf numFmtId="0" fontId="32" fillId="23" borderId="32" xfId="0" applyFont="1" applyFill="1" applyBorder="1" applyAlignment="1">
      <alignment horizontal="center" vertical="center"/>
    </xf>
    <xf numFmtId="0" fontId="32" fillId="23" borderId="24" xfId="0" applyFont="1" applyFill="1" applyBorder="1" applyAlignment="1">
      <alignment horizontal="left" vertical="center"/>
    </xf>
    <xf numFmtId="0" fontId="11" fillId="32" borderId="24" xfId="0" applyFont="1" applyFill="1" applyBorder="1" applyAlignment="1">
      <alignment horizontal="center" vertical="center"/>
    </xf>
    <xf numFmtId="0" fontId="32" fillId="23" borderId="32" xfId="0" applyFont="1" applyFill="1" applyBorder="1" applyAlignment="1">
      <alignment horizontal="left" vertical="center"/>
    </xf>
    <xf numFmtId="0" fontId="4" fillId="11" borderId="4" xfId="0" applyFont="1" applyFill="1" applyBorder="1" applyAlignment="1">
      <alignment horizontal="center" vertical="center"/>
    </xf>
    <xf numFmtId="0" fontId="2" fillId="0" borderId="93" xfId="0" applyFont="1" applyBorder="1"/>
    <xf numFmtId="0" fontId="23" fillId="50" borderId="94" xfId="0" applyFont="1" applyFill="1" applyBorder="1" applyAlignment="1">
      <alignment horizontal="center" vertical="center" wrapText="1"/>
    </xf>
    <xf numFmtId="0" fontId="2" fillId="0" borderId="95" xfId="0" applyFont="1" applyBorder="1"/>
    <xf numFmtId="0" fontId="2" fillId="0" borderId="96" xfId="0" applyFont="1" applyBorder="1"/>
    <xf numFmtId="0" fontId="11" fillId="23" borderId="4" xfId="0" applyFont="1" applyFill="1" applyBorder="1" applyAlignment="1">
      <alignment horizontal="left" vertical="center"/>
    </xf>
    <xf numFmtId="0" fontId="37" fillId="32" borderId="9" xfId="0" applyFont="1" applyFill="1" applyBorder="1" applyAlignment="1">
      <alignment horizontal="center" vertical="center"/>
    </xf>
    <xf numFmtId="0" fontId="66" fillId="5" borderId="9" xfId="0" applyFont="1" applyFill="1" applyBorder="1" applyAlignment="1">
      <alignment horizontal="center"/>
    </xf>
    <xf numFmtId="0" fontId="1" fillId="41" borderId="34" xfId="0" applyFont="1" applyFill="1" applyBorder="1" applyAlignment="1">
      <alignment horizontal="center" vertical="center"/>
    </xf>
    <xf numFmtId="0" fontId="1" fillId="22" borderId="34" xfId="0" applyFont="1" applyFill="1" applyBorder="1" applyAlignment="1">
      <alignment horizontal="center" vertical="center"/>
    </xf>
    <xf numFmtId="0" fontId="4" fillId="2" borderId="32" xfId="0" applyFont="1" applyFill="1" applyBorder="1" applyAlignment="1">
      <alignment horizontal="center" vertical="center"/>
    </xf>
    <xf numFmtId="0" fontId="1" fillId="17" borderId="27" xfId="0" applyFont="1" applyFill="1" applyBorder="1" applyAlignment="1">
      <alignment horizontal="center" vertical="center"/>
    </xf>
    <xf numFmtId="0" fontId="1" fillId="17" borderId="1" xfId="0" applyFont="1" applyFill="1" applyBorder="1" applyAlignment="1">
      <alignment horizontal="center" vertical="center"/>
    </xf>
    <xf numFmtId="0" fontId="3" fillId="17" borderId="4" xfId="0" applyFont="1" applyFill="1" applyBorder="1" applyAlignment="1">
      <alignment horizontal="center" vertical="center"/>
    </xf>
    <xf numFmtId="0" fontId="74" fillId="19" borderId="107" xfId="0" applyFont="1" applyFill="1" applyBorder="1" applyAlignment="1">
      <alignment vertical="center" wrapText="1"/>
    </xf>
    <xf numFmtId="0" fontId="4" fillId="0" borderId="9" xfId="0" applyFont="1" applyBorder="1" applyAlignment="1">
      <alignment vertical="center"/>
    </xf>
    <xf numFmtId="0" fontId="4" fillId="17" borderId="9" xfId="0" applyFont="1" applyFill="1" applyBorder="1" applyAlignment="1">
      <alignment vertical="center"/>
    </xf>
    <xf numFmtId="0" fontId="4" fillId="17" borderId="9" xfId="0" applyFont="1" applyFill="1" applyBorder="1"/>
    <xf numFmtId="0" fontId="4" fillId="0" borderId="9" xfId="0" applyFont="1" applyBorder="1"/>
    <xf numFmtId="0" fontId="4" fillId="17" borderId="9" xfId="0" applyFont="1" applyFill="1" applyBorder="1" applyAlignment="1">
      <alignment vertical="center" wrapText="1"/>
    </xf>
    <xf numFmtId="0" fontId="4" fillId="17" borderId="9" xfId="0" applyFont="1" applyFill="1" applyBorder="1" applyAlignment="1">
      <alignment horizontal="left" vertical="top"/>
    </xf>
    <xf numFmtId="0" fontId="4" fillId="0" borderId="9" xfId="0" applyFont="1" applyBorder="1" applyAlignment="1">
      <alignment horizontal="left" vertical="top"/>
    </xf>
    <xf numFmtId="0" fontId="4" fillId="17" borderId="12" xfId="0" applyFont="1" applyFill="1" applyBorder="1" applyAlignment="1">
      <alignment vertical="center"/>
    </xf>
    <xf numFmtId="0" fontId="4" fillId="0" borderId="12" xfId="0" applyFont="1" applyBorder="1" applyAlignment="1">
      <alignment horizontal="left" vertical="center" wrapText="1"/>
    </xf>
    <xf numFmtId="0" fontId="8" fillId="27" borderId="9" xfId="0" applyFont="1" applyFill="1" applyBorder="1" applyAlignment="1">
      <alignment horizontal="center" vertical="center" wrapText="1"/>
    </xf>
    <xf numFmtId="0" fontId="8" fillId="22" borderId="9" xfId="0" applyFont="1" applyFill="1" applyBorder="1" applyAlignment="1">
      <alignment horizontal="center" vertical="center" wrapText="1"/>
    </xf>
    <xf numFmtId="0" fontId="66" fillId="7" borderId="9" xfId="0" applyFont="1" applyFill="1" applyBorder="1" applyAlignment="1">
      <alignment horizontal="center" vertical="center"/>
    </xf>
    <xf numFmtId="0" fontId="74" fillId="19" borderId="108" xfId="0" applyFont="1" applyFill="1" applyBorder="1" applyAlignment="1">
      <alignment vertical="center" wrapText="1"/>
    </xf>
    <xf numFmtId="0" fontId="9" fillId="17" borderId="9" xfId="0" applyFont="1" applyFill="1" applyBorder="1" applyAlignment="1">
      <alignment horizontal="center" vertical="center"/>
    </xf>
    <xf numFmtId="0" fontId="23" fillId="56" borderId="19" xfId="0" applyFont="1" applyFill="1" applyBorder="1" applyAlignment="1">
      <alignment horizontal="center" vertical="center"/>
    </xf>
    <xf numFmtId="0" fontId="4" fillId="0" borderId="9" xfId="0" applyFont="1" applyBorder="1" applyAlignment="1">
      <alignment horizontal="left" vertical="center" wrapText="1"/>
    </xf>
    <xf numFmtId="0" fontId="63" fillId="27" borderId="9" xfId="0" applyFont="1" applyFill="1" applyBorder="1" applyAlignment="1">
      <alignment horizontal="center" vertical="center" wrapText="1"/>
    </xf>
    <xf numFmtId="0" fontId="66" fillId="17" borderId="9" xfId="0" applyFont="1" applyFill="1" applyBorder="1" applyAlignment="1">
      <alignment vertical="center"/>
    </xf>
    <xf numFmtId="0" fontId="14" fillId="9" borderId="9" xfId="0" applyFont="1" applyFill="1" applyBorder="1" applyAlignment="1" applyProtection="1">
      <alignment vertical="center" wrapText="1"/>
      <protection locked="0"/>
    </xf>
    <xf numFmtId="0" fontId="2" fillId="0" borderId="10" xfId="0" applyFont="1" applyBorder="1" applyProtection="1">
      <protection locked="0"/>
    </xf>
    <xf numFmtId="0" fontId="2" fillId="0" borderId="11" xfId="0" applyFont="1" applyBorder="1" applyProtection="1">
      <protection locked="0"/>
    </xf>
    <xf numFmtId="0" fontId="14" fillId="27" borderId="9" xfId="0" applyFont="1" applyFill="1" applyBorder="1" applyAlignment="1" applyProtection="1">
      <alignment vertical="center" wrapText="1"/>
      <protection locked="0"/>
    </xf>
    <xf numFmtId="0" fontId="14" fillId="9" borderId="35" xfId="0" applyFont="1" applyFill="1" applyBorder="1" applyAlignment="1" applyProtection="1">
      <alignment vertical="center" wrapText="1"/>
      <protection locked="0"/>
    </xf>
    <xf numFmtId="0" fontId="14" fillId="9" borderId="64" xfId="0" applyFont="1" applyFill="1" applyBorder="1" applyAlignment="1" applyProtection="1">
      <alignment vertical="center" wrapText="1"/>
      <protection locked="0"/>
    </xf>
    <xf numFmtId="0" fontId="14" fillId="9" borderId="31" xfId="0" applyFont="1" applyFill="1" applyBorder="1" applyAlignment="1" applyProtection="1">
      <alignment vertical="center" wrapText="1"/>
      <protection locked="0"/>
    </xf>
    <xf numFmtId="0" fontId="14" fillId="70" borderId="9" xfId="0" applyFont="1" applyFill="1" applyBorder="1" applyAlignment="1" applyProtection="1">
      <alignment vertical="center" wrapText="1"/>
      <protection locked="0"/>
    </xf>
    <xf numFmtId="0" fontId="2" fillId="71" borderId="10" xfId="0" applyFont="1" applyFill="1" applyBorder="1" applyProtection="1">
      <protection locked="0"/>
    </xf>
    <xf numFmtId="0" fontId="2" fillId="71" borderId="11" xfId="0" applyFont="1" applyFill="1" applyBorder="1" applyProtection="1">
      <protection locked="0"/>
    </xf>
    <xf numFmtId="0" fontId="6" fillId="56" borderId="9" xfId="0" applyFont="1" applyFill="1" applyBorder="1" applyAlignment="1">
      <alignment horizontal="left" vertical="center" wrapText="1"/>
    </xf>
    <xf numFmtId="0" fontId="6" fillId="9" borderId="9" xfId="0" applyFont="1" applyFill="1" applyBorder="1" applyAlignment="1">
      <alignment horizontal="center" vertical="center" wrapText="1"/>
    </xf>
    <xf numFmtId="0" fontId="6" fillId="27" borderId="9" xfId="0" applyFont="1" applyFill="1" applyBorder="1" applyAlignment="1">
      <alignment horizontal="center" vertical="center" wrapText="1"/>
    </xf>
    <xf numFmtId="0" fontId="14" fillId="27" borderId="35" xfId="0" applyFont="1" applyFill="1" applyBorder="1" applyAlignment="1" applyProtection="1">
      <alignment vertical="center" wrapText="1"/>
      <protection locked="0"/>
    </xf>
    <xf numFmtId="0" fontId="14" fillId="27" borderId="64" xfId="0" applyFont="1" applyFill="1" applyBorder="1" applyAlignment="1" applyProtection="1">
      <alignment vertical="center" wrapText="1"/>
      <protection locked="0"/>
    </xf>
    <xf numFmtId="0" fontId="14" fillId="27" borderId="31" xfId="0" applyFont="1" applyFill="1" applyBorder="1" applyAlignment="1" applyProtection="1">
      <alignment vertical="center" wrapText="1"/>
      <protection locked="0"/>
    </xf>
    <xf numFmtId="0" fontId="19" fillId="59" borderId="9" xfId="0" applyFont="1" applyFill="1" applyBorder="1" applyAlignment="1">
      <alignment vertical="center" wrapText="1"/>
    </xf>
    <xf numFmtId="0" fontId="11" fillId="57" borderId="9" xfId="0" applyFont="1" applyFill="1" applyBorder="1" applyAlignment="1">
      <alignment horizontal="center" vertical="center" wrapText="1"/>
    </xf>
    <xf numFmtId="0" fontId="11" fillId="57" borderId="27" xfId="0" applyFont="1" applyFill="1" applyBorder="1" applyAlignment="1">
      <alignment horizontal="center" vertical="center" wrapText="1"/>
    </xf>
    <xf numFmtId="0" fontId="1" fillId="58" borderId="27" xfId="0" applyFont="1" applyFill="1" applyBorder="1" applyAlignment="1">
      <alignment horizontal="center" vertical="center"/>
    </xf>
    <xf numFmtId="0" fontId="1" fillId="58" borderId="1" xfId="0" applyFont="1" applyFill="1" applyBorder="1" applyAlignment="1">
      <alignment horizontal="center" vertical="center"/>
    </xf>
    <xf numFmtId="0" fontId="3" fillId="58" borderId="1" xfId="0" applyFont="1" applyFill="1" applyBorder="1" applyAlignment="1">
      <alignment horizontal="center" vertical="center"/>
    </xf>
    <xf numFmtId="0" fontId="80" fillId="58" borderId="9" xfId="0" applyFont="1" applyFill="1" applyBorder="1" applyAlignment="1">
      <alignment vertical="center" wrapText="1"/>
    </xf>
    <xf numFmtId="0" fontId="4" fillId="58" borderId="9" xfId="0" applyFont="1" applyFill="1" applyBorder="1" applyAlignment="1">
      <alignment vertical="center" wrapText="1"/>
    </xf>
    <xf numFmtId="0" fontId="4" fillId="58" borderId="9" xfId="0" applyFont="1" applyFill="1" applyBorder="1" applyAlignment="1">
      <alignment horizontal="left" vertical="top"/>
    </xf>
    <xf numFmtId="0" fontId="4" fillId="58" borderId="9" xfId="0" applyFont="1" applyFill="1" applyBorder="1"/>
    <xf numFmtId="0" fontId="4" fillId="58" borderId="9" xfId="0" applyFont="1" applyFill="1" applyBorder="1" applyAlignment="1">
      <alignment vertical="center"/>
    </xf>
    <xf numFmtId="0" fontId="4" fillId="58" borderId="12" xfId="0" applyFont="1" applyFill="1" applyBorder="1" applyAlignment="1">
      <alignment vertical="center"/>
    </xf>
    <xf numFmtId="0" fontId="4" fillId="59" borderId="1" xfId="0" applyFont="1" applyFill="1" applyBorder="1" applyAlignment="1">
      <alignment horizontal="center" vertical="center"/>
    </xf>
    <xf numFmtId="14" fontId="5" fillId="61" borderId="9" xfId="0" applyNumberFormat="1" applyFont="1" applyFill="1" applyBorder="1" applyAlignment="1">
      <alignment horizontal="center" vertical="center"/>
    </xf>
    <xf numFmtId="0" fontId="1" fillId="61" borderId="9" xfId="0" applyFont="1" applyFill="1" applyBorder="1" applyAlignment="1">
      <alignment horizontal="center" vertical="center" wrapText="1"/>
    </xf>
    <xf numFmtId="0" fontId="1" fillId="62" borderId="9" xfId="0" applyFont="1" applyFill="1" applyBorder="1" applyAlignment="1">
      <alignment horizontal="center" vertical="center" wrapText="1"/>
    </xf>
    <xf numFmtId="0" fontId="78" fillId="60" borderId="1" xfId="0" applyFont="1" applyFill="1" applyBorder="1" applyAlignment="1">
      <alignment horizontal="left" vertical="center"/>
    </xf>
    <xf numFmtId="0" fontId="1" fillId="8" borderId="9" xfId="0" applyFont="1" applyFill="1" applyBorder="1" applyAlignment="1">
      <alignment vertical="center" wrapText="1"/>
    </xf>
    <xf numFmtId="0" fontId="3" fillId="8" borderId="9" xfId="0" applyFont="1" applyFill="1" applyBorder="1" applyAlignment="1">
      <alignment vertical="center" wrapText="1"/>
    </xf>
    <xf numFmtId="0" fontId="3" fillId="58" borderId="4" xfId="0" applyFont="1" applyFill="1" applyBorder="1" applyAlignment="1">
      <alignment horizontal="center" vertical="center"/>
    </xf>
    <xf numFmtId="0" fontId="11" fillId="57" borderId="9" xfId="0" applyFont="1" applyFill="1" applyBorder="1" applyAlignment="1">
      <alignment horizontal="left" vertical="center"/>
    </xf>
    <xf numFmtId="0" fontId="8" fillId="0" borderId="9" xfId="0" applyFont="1" applyBorder="1" applyAlignment="1">
      <alignment wrapText="1"/>
    </xf>
    <xf numFmtId="0" fontId="6" fillId="58" borderId="9" xfId="0" applyFont="1" applyFill="1" applyBorder="1" applyAlignment="1">
      <alignment horizontal="left" vertical="center"/>
    </xf>
    <xf numFmtId="0" fontId="8" fillId="4" borderId="9" xfId="0" applyFont="1" applyFill="1" applyBorder="1" applyAlignment="1">
      <alignment horizontal="left" vertical="center" wrapText="1"/>
    </xf>
    <xf numFmtId="0" fontId="8" fillId="0" borderId="12" xfId="0" applyFont="1" applyBorder="1" applyAlignment="1">
      <alignment horizontal="left" vertical="center" wrapText="1"/>
    </xf>
    <xf numFmtId="0" fontId="4" fillId="58" borderId="9" xfId="0" applyFont="1" applyFill="1" applyBorder="1" applyAlignment="1">
      <alignment horizontal="left" vertical="center"/>
    </xf>
    <xf numFmtId="0" fontId="8" fillId="0" borderId="9" xfId="0" applyFont="1" applyBorder="1" applyAlignment="1">
      <alignment vertical="center" wrapText="1"/>
    </xf>
    <xf numFmtId="0" fontId="6" fillId="58" borderId="9" xfId="0" applyFont="1" applyFill="1" applyBorder="1" applyAlignment="1">
      <alignment vertical="center"/>
    </xf>
    <xf numFmtId="0" fontId="7" fillId="33" borderId="9" xfId="0" applyFont="1" applyFill="1" applyBorder="1" applyAlignment="1">
      <alignment horizontal="center" vertical="center"/>
    </xf>
    <xf numFmtId="14" fontId="5" fillId="62" borderId="9" xfId="0" applyNumberFormat="1" applyFont="1" applyFill="1" applyBorder="1" applyAlignment="1">
      <alignment horizontal="center" vertical="center"/>
    </xf>
    <xf numFmtId="0" fontId="4" fillId="8" borderId="9" xfId="0" applyFont="1" applyFill="1" applyBorder="1"/>
    <xf numFmtId="14" fontId="5" fillId="61" borderId="9" xfId="0" applyNumberFormat="1" applyFont="1" applyFill="1" applyBorder="1" applyAlignment="1">
      <alignment horizontal="center"/>
    </xf>
    <xf numFmtId="14" fontId="5" fillId="62" borderId="9" xfId="0" applyNumberFormat="1" applyFont="1" applyFill="1" applyBorder="1"/>
    <xf numFmtId="14" fontId="5" fillId="61" borderId="9" xfId="0" applyNumberFormat="1" applyFont="1" applyFill="1" applyBorder="1"/>
    <xf numFmtId="0" fontId="78" fillId="63" borderId="7" xfId="0" applyFont="1" applyFill="1" applyBorder="1" applyAlignment="1">
      <alignment horizontal="left" vertical="center"/>
    </xf>
    <xf numFmtId="0" fontId="78" fillId="64" borderId="7" xfId="0" applyFont="1" applyFill="1" applyBorder="1"/>
    <xf numFmtId="0" fontId="22" fillId="15" borderId="7" xfId="0" applyFont="1" applyFill="1" applyBorder="1" applyAlignment="1">
      <alignment horizontal="center" vertical="center"/>
    </xf>
    <xf numFmtId="0" fontId="81" fillId="3" borderId="9"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2" fillId="0" borderId="110" xfId="0" applyFont="1" applyBorder="1"/>
    <xf numFmtId="0" fontId="80" fillId="56" borderId="109" xfId="0" applyFont="1" applyFill="1" applyBorder="1" applyAlignment="1">
      <alignment horizontal="center" vertical="center"/>
    </xf>
    <xf numFmtId="0" fontId="80" fillId="28" borderId="9" xfId="0" applyFont="1" applyFill="1" applyBorder="1" applyAlignment="1">
      <alignment horizontal="right"/>
    </xf>
    <xf numFmtId="0" fontId="80" fillId="28" borderId="109" xfId="0" applyFont="1" applyFill="1" applyBorder="1" applyAlignment="1">
      <alignment horizontal="center" vertical="center"/>
    </xf>
    <xf numFmtId="0" fontId="80" fillId="56" borderId="9" xfId="0" applyFont="1" applyFill="1" applyBorder="1" applyAlignment="1">
      <alignment horizontal="right"/>
    </xf>
    <xf numFmtId="0" fontId="11" fillId="13" borderId="19" xfId="0" applyFont="1" applyFill="1" applyBorder="1" applyAlignment="1">
      <alignment horizontal="right"/>
    </xf>
    <xf numFmtId="0" fontId="11" fillId="13" borderId="19" xfId="0" applyFont="1" applyFill="1" applyBorder="1" applyAlignment="1">
      <alignment horizontal="center" vertical="center"/>
    </xf>
    <xf numFmtId="0" fontId="23" fillId="13" borderId="19" xfId="0" applyFont="1" applyFill="1" applyBorder="1" applyAlignment="1">
      <alignment horizontal="right"/>
    </xf>
    <xf numFmtId="0" fontId="9" fillId="65" borderId="109" xfId="0" applyFont="1" applyFill="1" applyBorder="1" applyAlignment="1">
      <alignment horizontal="center" vertical="center" wrapText="1"/>
    </xf>
    <xf numFmtId="0" fontId="3" fillId="22" borderId="9" xfId="0" applyFont="1" applyFill="1" applyBorder="1" applyAlignment="1">
      <alignment vertical="center" wrapText="1"/>
    </xf>
    <xf numFmtId="0" fontId="4" fillId="22" borderId="109" xfId="0" applyFont="1" applyFill="1" applyBorder="1" applyAlignment="1">
      <alignment horizontal="center" vertical="center" wrapText="1"/>
    </xf>
    <xf numFmtId="0" fontId="9" fillId="66" borderId="109" xfId="0" applyFont="1" applyFill="1" applyBorder="1" applyAlignment="1">
      <alignment horizontal="center" vertical="center"/>
    </xf>
    <xf numFmtId="0" fontId="78" fillId="64" borderId="7" xfId="0" applyFont="1" applyFill="1" applyBorder="1" applyAlignment="1">
      <alignment horizontal="left" vertical="center"/>
    </xf>
    <xf numFmtId="0" fontId="22" fillId="15" borderId="34" xfId="0" applyFont="1" applyFill="1" applyBorder="1" applyAlignment="1">
      <alignment horizontal="center" vertical="center"/>
    </xf>
    <xf numFmtId="0" fontId="4" fillId="4" borderId="27" xfId="0" applyFont="1" applyFill="1" applyBorder="1"/>
    <xf numFmtId="0" fontId="78" fillId="38" borderId="9" xfId="0" applyFont="1" applyFill="1" applyBorder="1" applyAlignment="1">
      <alignment horizontal="left" vertical="center"/>
    </xf>
    <xf numFmtId="0" fontId="4" fillId="4" borderId="9" xfId="0" applyFont="1" applyFill="1" applyBorder="1"/>
    <xf numFmtId="0" fontId="22" fillId="23" borderId="7" xfId="0" applyFont="1" applyFill="1" applyBorder="1"/>
    <xf numFmtId="0" fontId="22" fillId="19" borderId="7" xfId="0" applyFont="1" applyFill="1" applyBorder="1"/>
    <xf numFmtId="0" fontId="22" fillId="57" borderId="7" xfId="0" applyFont="1" applyFill="1" applyBorder="1"/>
    <xf numFmtId="0" fontId="4" fillId="67" borderId="9" xfId="0" applyFont="1" applyFill="1" applyBorder="1"/>
    <xf numFmtId="0" fontId="30" fillId="2" borderId="9" xfId="0" applyFont="1" applyFill="1" applyBorder="1" applyAlignment="1">
      <alignment horizontal="center" vertical="center" wrapText="1"/>
    </xf>
    <xf numFmtId="0" fontId="80" fillId="2" borderId="9" xfId="0" applyFont="1" applyFill="1" applyBorder="1" applyAlignment="1">
      <alignment horizontal="center" vertical="center" wrapText="1"/>
    </xf>
    <xf numFmtId="0" fontId="4" fillId="22" borderId="9" xfId="0" applyFont="1" applyFill="1" applyBorder="1" applyAlignment="1">
      <alignment horizontal="center" vertical="center" wrapText="1"/>
    </xf>
    <xf numFmtId="0" fontId="9" fillId="22" borderId="4" xfId="0" applyFont="1" applyFill="1" applyBorder="1" applyAlignment="1">
      <alignment horizontal="center" vertical="center"/>
    </xf>
    <xf numFmtId="0" fontId="94" fillId="3" borderId="12" xfId="0" applyFont="1" applyFill="1" applyBorder="1" applyAlignment="1">
      <alignment horizontal="center" vertical="center" wrapText="1"/>
    </xf>
    <xf numFmtId="0" fontId="2" fillId="0" borderId="111" xfId="0" applyFont="1" applyBorder="1"/>
    <xf numFmtId="0" fontId="2" fillId="0" borderId="112" xfId="0" applyFont="1" applyBorder="1"/>
    <xf numFmtId="0" fontId="78" fillId="38" borderId="9" xfId="0" applyFont="1" applyFill="1" applyBorder="1"/>
    <xf numFmtId="0" fontId="37" fillId="38" borderId="32" xfId="0" applyFont="1" applyFill="1" applyBorder="1"/>
    <xf numFmtId="0" fontId="1" fillId="2" borderId="9" xfId="0" applyFont="1" applyFill="1" applyBorder="1" applyAlignment="1">
      <alignment horizontal="center" vertical="center" wrapText="1"/>
    </xf>
    <xf numFmtId="0" fontId="79" fillId="10" borderId="9" xfId="0" applyFont="1" applyFill="1" applyBorder="1" applyAlignment="1">
      <alignment horizontal="center" vertical="center" wrapText="1"/>
    </xf>
    <xf numFmtId="0" fontId="96" fillId="22" borderId="9" xfId="0" applyFont="1" applyFill="1" applyBorder="1" applyAlignment="1">
      <alignment vertical="center" wrapText="1"/>
    </xf>
    <xf numFmtId="0" fontId="97" fillId="32" borderId="9" xfId="0" applyFont="1" applyFill="1" applyBorder="1" applyAlignment="1">
      <alignment vertical="center" wrapText="1"/>
    </xf>
    <xf numFmtId="0" fontId="37" fillId="9" borderId="1" xfId="0" applyFont="1" applyFill="1" applyBorder="1" applyAlignment="1">
      <alignment horizontal="center" vertical="center"/>
    </xf>
    <xf numFmtId="0" fontId="62" fillId="9" borderId="9" xfId="0" applyFont="1" applyFill="1" applyBorder="1" applyAlignment="1">
      <alignment vertical="center" wrapText="1"/>
    </xf>
    <xf numFmtId="0" fontId="62" fillId="10" borderId="9" xfId="0" applyFont="1" applyFill="1" applyBorder="1" applyAlignment="1">
      <alignment vertical="center" wrapText="1"/>
    </xf>
    <xf numFmtId="0" fontId="62" fillId="31" borderId="9" xfId="0" applyFont="1" applyFill="1" applyBorder="1" applyAlignment="1">
      <alignment vertical="center" wrapText="1"/>
    </xf>
    <xf numFmtId="0" fontId="5" fillId="22" borderId="9" xfId="0" applyFont="1" applyFill="1" applyBorder="1" applyAlignment="1">
      <alignment vertical="center" wrapText="1"/>
    </xf>
    <xf numFmtId="0" fontId="62" fillId="53" borderId="9" xfId="0" applyFont="1" applyFill="1" applyBorder="1" applyAlignment="1">
      <alignment vertical="center" wrapText="1"/>
    </xf>
    <xf numFmtId="0" fontId="5" fillId="9" borderId="9" xfId="0" applyFont="1" applyFill="1" applyBorder="1" applyAlignment="1">
      <alignment horizontal="center" vertical="center" wrapText="1"/>
    </xf>
    <xf numFmtId="0" fontId="85" fillId="51" borderId="9" xfId="0" applyFont="1" applyFill="1" applyBorder="1" applyAlignment="1">
      <alignment horizontal="center" vertical="center" wrapText="1"/>
    </xf>
    <xf numFmtId="0" fontId="5" fillId="18" borderId="9" xfId="0" applyFont="1" applyFill="1" applyBorder="1" applyAlignment="1">
      <alignment horizontal="center" vertical="center" wrapText="1"/>
    </xf>
    <xf numFmtId="0" fontId="62" fillId="27" borderId="9" xfId="0" applyFont="1" applyFill="1" applyBorder="1" applyAlignment="1">
      <alignment horizontal="center" vertical="center" wrapText="1"/>
    </xf>
    <xf numFmtId="0" fontId="5" fillId="9" borderId="9" xfId="0" applyFont="1" applyFill="1" applyBorder="1" applyAlignment="1">
      <alignment vertical="center" wrapText="1"/>
    </xf>
    <xf numFmtId="0" fontId="62" fillId="40" borderId="9" xfId="0" applyFont="1" applyFill="1" applyBorder="1" applyAlignment="1">
      <alignment vertical="center" wrapText="1"/>
    </xf>
    <xf numFmtId="0" fontId="5" fillId="41" borderId="9" xfId="0" applyFont="1" applyFill="1" applyBorder="1" applyAlignment="1">
      <alignment vertical="center" wrapText="1"/>
    </xf>
    <xf numFmtId="0" fontId="96" fillId="41" borderId="9" xfId="0" applyFont="1" applyFill="1" applyBorder="1" applyAlignment="1">
      <alignment vertical="center" wrapText="1"/>
    </xf>
    <xf numFmtId="0" fontId="5" fillId="40" borderId="9" xfId="0" applyFont="1" applyFill="1" applyBorder="1" applyAlignment="1">
      <alignment vertical="center" wrapText="1"/>
    </xf>
    <xf numFmtId="0" fontId="62" fillId="41" borderId="9" xfId="0" applyFont="1" applyFill="1" applyBorder="1" applyAlignment="1">
      <alignment vertical="center" wrapText="1"/>
    </xf>
    <xf numFmtId="0" fontId="62" fillId="41" borderId="9" xfId="0" applyFont="1" applyFill="1" applyBorder="1" applyAlignment="1">
      <alignment horizontal="center" vertical="center" wrapText="1"/>
    </xf>
    <xf numFmtId="0" fontId="62" fillId="53" borderId="9" xfId="0" applyFont="1" applyFill="1" applyBorder="1" applyAlignment="1">
      <alignment horizontal="center" vertical="center" textRotation="90" wrapText="1"/>
    </xf>
    <xf numFmtId="0" fontId="62" fillId="31" borderId="9" xfId="0" applyFont="1" applyFill="1" applyBorder="1" applyAlignment="1">
      <alignment horizontal="center" vertical="center" wrapText="1"/>
    </xf>
    <xf numFmtId="0" fontId="62" fillId="53" borderId="9" xfId="0" applyFont="1" applyFill="1" applyBorder="1" applyAlignment="1">
      <alignment horizontal="center" vertical="center" wrapText="1"/>
    </xf>
    <xf numFmtId="0" fontId="62" fillId="31" borderId="9" xfId="0" applyFont="1" applyFill="1" applyBorder="1" applyAlignment="1">
      <alignment horizontal="center" vertical="center"/>
    </xf>
    <xf numFmtId="0" fontId="62" fillId="53" borderId="27" xfId="0" applyFont="1" applyFill="1" applyBorder="1" applyAlignment="1">
      <alignment vertical="center" wrapText="1"/>
    </xf>
    <xf numFmtId="0" fontId="5" fillId="31" borderId="27" xfId="0" applyFont="1" applyFill="1" applyBorder="1" applyAlignment="1">
      <alignment vertical="center" wrapText="1"/>
    </xf>
    <xf numFmtId="0" fontId="5" fillId="53" borderId="27" xfId="0" applyFont="1" applyFill="1" applyBorder="1" applyAlignment="1">
      <alignment vertical="center" wrapText="1"/>
    </xf>
    <xf numFmtId="0" fontId="62" fillId="12" borderId="9" xfId="0" applyFont="1" applyFill="1" applyBorder="1" applyAlignment="1">
      <alignment horizontal="center" vertical="center" wrapText="1"/>
    </xf>
    <xf numFmtId="0" fontId="62" fillId="2" borderId="9" xfId="0" applyFont="1" applyFill="1" applyBorder="1" applyAlignment="1">
      <alignment vertical="center" wrapText="1"/>
    </xf>
    <xf numFmtId="0" fontId="62" fillId="12" borderId="9" xfId="0" applyFont="1" applyFill="1" applyBorder="1" applyAlignment="1">
      <alignment vertical="center" wrapText="1"/>
    </xf>
    <xf numFmtId="0" fontId="97" fillId="50" borderId="9" xfId="0" applyFont="1" applyFill="1" applyBorder="1" applyAlignment="1">
      <alignment vertical="center" wrapText="1"/>
    </xf>
    <xf numFmtId="0" fontId="20" fillId="13" borderId="9" xfId="0" applyFont="1" applyFill="1" applyBorder="1" applyAlignment="1">
      <alignment horizontal="center" vertical="center" wrapText="1"/>
    </xf>
    <xf numFmtId="0" fontId="20" fillId="68" borderId="9" xfId="0" applyFont="1" applyFill="1" applyBorder="1" applyAlignment="1">
      <alignment horizontal="center" vertical="center" wrapText="1"/>
    </xf>
    <xf numFmtId="0" fontId="97" fillId="69" borderId="9" xfId="0" applyFont="1" applyFill="1" applyBorder="1" applyAlignment="1">
      <alignment vertical="center" wrapText="1"/>
    </xf>
    <xf numFmtId="0" fontId="98" fillId="50" borderId="9" xfId="0" applyFont="1" applyFill="1" applyBorder="1" applyAlignment="1">
      <alignment vertical="center" wrapText="1"/>
    </xf>
    <xf numFmtId="0" fontId="20" fillId="68" borderId="9" xfId="0" applyFont="1" applyFill="1" applyBorder="1" applyAlignment="1">
      <alignment vertical="center" wrapText="1"/>
    </xf>
  </cellXfs>
  <cellStyles count="1">
    <cellStyle name="Normal" xfId="0" builtinId="0"/>
  </cellStyles>
  <dxfs count="32">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A5A5A5"/>
          <bgColor rgb="FFA5A5A5"/>
        </patternFill>
      </fill>
    </dxf>
    <dxf>
      <fill>
        <patternFill patternType="solid">
          <fgColor rgb="FFA5A5A5"/>
          <bgColor rgb="FFA5A5A5"/>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none"/>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5"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974"/>
  <sheetViews>
    <sheetView tabSelected="1" zoomScale="120" zoomScaleNormal="120" workbookViewId="0">
      <selection activeCell="A3" sqref="A3:Q3"/>
    </sheetView>
  </sheetViews>
  <sheetFormatPr defaultColWidth="14.42578125" defaultRowHeight="15" customHeight="1" x14ac:dyDescent="0.25"/>
  <cols>
    <col min="1" max="17" width="9.7109375" customWidth="1"/>
    <col min="18" max="26" width="8.7109375" customWidth="1"/>
  </cols>
  <sheetData>
    <row r="1" spans="1:17" ht="15.75" x14ac:dyDescent="0.25">
      <c r="A1" s="704" t="s">
        <v>966</v>
      </c>
      <c r="B1" s="705"/>
      <c r="C1" s="705"/>
      <c r="D1" s="705"/>
      <c r="E1" s="705"/>
      <c r="F1" s="705"/>
      <c r="G1" s="705"/>
      <c r="H1" s="705"/>
      <c r="I1" s="705"/>
      <c r="J1" s="705"/>
      <c r="K1" s="705"/>
      <c r="L1" s="705"/>
      <c r="M1" s="705"/>
      <c r="N1" s="705"/>
      <c r="O1" s="705"/>
      <c r="P1" s="705"/>
      <c r="Q1" s="706"/>
    </row>
    <row r="2" spans="1:17" ht="15.75" x14ac:dyDescent="0.25">
      <c r="A2" s="2"/>
      <c r="B2" s="3"/>
      <c r="C2" s="3"/>
      <c r="D2" s="3"/>
      <c r="E2" s="3"/>
      <c r="F2" s="4"/>
      <c r="G2" s="3" t="s">
        <v>10</v>
      </c>
      <c r="H2" s="707" t="s">
        <v>912</v>
      </c>
      <c r="I2" s="708"/>
      <c r="J2" s="708"/>
      <c r="K2" s="709"/>
      <c r="L2" s="3"/>
      <c r="M2" s="3"/>
      <c r="N2" s="3"/>
      <c r="O2" s="3"/>
      <c r="P2" s="3"/>
      <c r="Q2" s="5"/>
    </row>
    <row r="3" spans="1:17" ht="15.75" x14ac:dyDescent="0.25">
      <c r="A3" s="710" t="s">
        <v>977</v>
      </c>
      <c r="B3" s="711"/>
      <c r="C3" s="711"/>
      <c r="D3" s="711"/>
      <c r="E3" s="711"/>
      <c r="F3" s="711"/>
      <c r="G3" s="711"/>
      <c r="H3" s="711"/>
      <c r="I3" s="711"/>
      <c r="J3" s="711"/>
      <c r="K3" s="711"/>
      <c r="L3" s="711"/>
      <c r="M3" s="711"/>
      <c r="N3" s="711"/>
      <c r="O3" s="711"/>
      <c r="P3" s="711"/>
      <c r="Q3" s="712"/>
    </row>
    <row r="4" spans="1:17" ht="18.75" x14ac:dyDescent="0.25">
      <c r="A4" s="713" t="s">
        <v>973</v>
      </c>
      <c r="B4" s="698"/>
      <c r="C4" s="698"/>
      <c r="D4" s="698"/>
      <c r="E4" s="698"/>
      <c r="F4" s="698"/>
      <c r="G4" s="698"/>
      <c r="H4" s="698"/>
      <c r="I4" s="698"/>
      <c r="J4" s="698"/>
      <c r="K4" s="698"/>
      <c r="L4" s="698"/>
      <c r="M4" s="698"/>
      <c r="N4" s="698"/>
      <c r="O4" s="698"/>
      <c r="P4" s="714"/>
      <c r="Q4" s="6"/>
    </row>
    <row r="5" spans="1:17" ht="24.75" customHeight="1" x14ac:dyDescent="0.25">
      <c r="A5" s="723" t="s">
        <v>967</v>
      </c>
      <c r="B5" s="718"/>
      <c r="C5" s="718"/>
      <c r="D5" s="724"/>
      <c r="E5" s="715" t="s">
        <v>965</v>
      </c>
      <c r="F5" s="716"/>
      <c r="G5" s="716"/>
      <c r="H5" s="716"/>
      <c r="I5" s="717" t="s">
        <v>0</v>
      </c>
      <c r="J5" s="718"/>
      <c r="K5" s="718"/>
      <c r="L5" s="719"/>
      <c r="M5" s="720"/>
      <c r="N5" s="716"/>
      <c r="O5" s="716"/>
      <c r="P5" s="716"/>
      <c r="Q5" s="721"/>
    </row>
    <row r="6" spans="1:17" ht="24.75" customHeight="1" x14ac:dyDescent="0.25">
      <c r="A6" s="723" t="s">
        <v>968</v>
      </c>
      <c r="B6" s="718"/>
      <c r="C6" s="718"/>
      <c r="D6" s="724"/>
      <c r="E6" s="715"/>
      <c r="F6" s="716"/>
      <c r="G6" s="716"/>
      <c r="H6" s="716"/>
      <c r="I6" s="717" t="s">
        <v>1</v>
      </c>
      <c r="J6" s="718"/>
      <c r="K6" s="718"/>
      <c r="L6" s="719"/>
      <c r="M6" s="720"/>
      <c r="N6" s="716"/>
      <c r="O6" s="716"/>
      <c r="P6" s="716"/>
      <c r="Q6" s="721"/>
    </row>
    <row r="7" spans="1:17" ht="24.75" customHeight="1" x14ac:dyDescent="0.25">
      <c r="A7" s="725" t="s">
        <v>2</v>
      </c>
      <c r="B7" s="726"/>
      <c r="C7" s="726"/>
      <c r="D7" s="727"/>
      <c r="E7" s="731"/>
      <c r="F7" s="732"/>
      <c r="G7" s="732"/>
      <c r="H7" s="733"/>
      <c r="I7" s="717" t="s">
        <v>3</v>
      </c>
      <c r="J7" s="718"/>
      <c r="K7" s="718"/>
      <c r="L7" s="719"/>
      <c r="M7" s="720"/>
      <c r="N7" s="716"/>
      <c r="O7" s="716"/>
      <c r="P7" s="716"/>
      <c r="Q7" s="721"/>
    </row>
    <row r="8" spans="1:17" ht="24.75" customHeight="1" x14ac:dyDescent="0.25">
      <c r="A8" s="728"/>
      <c r="B8" s="729"/>
      <c r="C8" s="729"/>
      <c r="D8" s="730"/>
      <c r="E8" s="734"/>
      <c r="F8" s="735"/>
      <c r="G8" s="735"/>
      <c r="H8" s="736"/>
      <c r="I8" s="722" t="s">
        <v>969</v>
      </c>
      <c r="J8" s="718"/>
      <c r="K8" s="718"/>
      <c r="L8" s="719"/>
      <c r="M8" s="720"/>
      <c r="N8" s="716"/>
      <c r="O8" s="716"/>
      <c r="P8" s="716"/>
      <c r="Q8" s="721"/>
    </row>
    <row r="9" spans="1:17" ht="24.75" customHeight="1" x14ac:dyDescent="0.25">
      <c r="A9" s="737" t="s">
        <v>970</v>
      </c>
      <c r="B9" s="738"/>
      <c r="C9" s="738"/>
      <c r="D9" s="739"/>
      <c r="E9" s="740" t="s">
        <v>682</v>
      </c>
      <c r="F9" s="706"/>
      <c r="G9" s="740">
        <v>2024</v>
      </c>
      <c r="H9" s="706"/>
      <c r="I9" s="741" t="s">
        <v>971</v>
      </c>
      <c r="J9" s="738"/>
      <c r="K9" s="738"/>
      <c r="L9" s="742"/>
      <c r="M9" s="731"/>
      <c r="N9" s="732"/>
      <c r="O9" s="732"/>
      <c r="P9" s="732"/>
      <c r="Q9" s="733"/>
    </row>
    <row r="10" spans="1:17" ht="24.75" customHeight="1" x14ac:dyDescent="0.25">
      <c r="A10" s="743" t="s">
        <v>14</v>
      </c>
      <c r="B10" s="698"/>
      <c r="C10" s="698"/>
      <c r="D10" s="698"/>
      <c r="E10" s="698"/>
      <c r="F10" s="698"/>
      <c r="G10" s="698"/>
      <c r="H10" s="698"/>
      <c r="I10" s="698"/>
      <c r="J10" s="698"/>
      <c r="K10" s="698"/>
      <c r="L10" s="698"/>
      <c r="M10" s="698"/>
      <c r="N10" s="698"/>
      <c r="O10" s="698"/>
      <c r="P10" s="698"/>
      <c r="Q10" s="699"/>
    </row>
    <row r="11" spans="1:17" ht="75" customHeight="1" x14ac:dyDescent="0.25">
      <c r="A11" s="744"/>
      <c r="B11" s="698"/>
      <c r="C11" s="698"/>
      <c r="D11" s="698"/>
      <c r="E11" s="698"/>
      <c r="F11" s="698"/>
      <c r="G11" s="698"/>
      <c r="H11" s="698"/>
      <c r="I11" s="698"/>
      <c r="J11" s="698"/>
      <c r="K11" s="698"/>
      <c r="L11" s="698"/>
      <c r="M11" s="698"/>
      <c r="N11" s="698"/>
      <c r="O11" s="698"/>
      <c r="P11" s="698"/>
      <c r="Q11" s="699"/>
    </row>
    <row r="12" spans="1:17" ht="18.75" x14ac:dyDescent="0.25">
      <c r="A12" s="713" t="s">
        <v>15</v>
      </c>
      <c r="B12" s="698"/>
      <c r="C12" s="698"/>
      <c r="D12" s="698"/>
      <c r="E12" s="698"/>
      <c r="F12" s="698"/>
      <c r="G12" s="698"/>
      <c r="H12" s="698"/>
      <c r="I12" s="698"/>
      <c r="J12" s="698"/>
      <c r="K12" s="698"/>
      <c r="L12" s="698"/>
      <c r="M12" s="698"/>
      <c r="N12" s="698"/>
      <c r="O12" s="698"/>
      <c r="P12" s="699"/>
      <c r="Q12" s="7"/>
    </row>
    <row r="13" spans="1:17" ht="48.75" customHeight="1" x14ac:dyDescent="0.25">
      <c r="A13" s="700" t="s">
        <v>972</v>
      </c>
      <c r="B13" s="698"/>
      <c r="C13" s="698"/>
      <c r="D13" s="698"/>
      <c r="E13" s="698"/>
      <c r="F13" s="698"/>
      <c r="G13" s="698"/>
      <c r="H13" s="698"/>
      <c r="I13" s="698"/>
      <c r="J13" s="698"/>
      <c r="K13" s="698"/>
      <c r="L13" s="698"/>
      <c r="M13" s="698"/>
      <c r="N13" s="698"/>
      <c r="O13" s="698"/>
      <c r="P13" s="698"/>
      <c r="Q13" s="699"/>
    </row>
    <row r="14" spans="1:17" ht="99.75" customHeight="1" x14ac:dyDescent="0.25">
      <c r="A14" s="8" t="s">
        <v>975</v>
      </c>
      <c r="B14" s="9">
        <v>2024</v>
      </c>
      <c r="C14" s="745"/>
      <c r="D14" s="746"/>
      <c r="E14" s="746"/>
      <c r="F14" s="746"/>
      <c r="G14" s="746"/>
      <c r="H14" s="746"/>
      <c r="I14" s="746"/>
      <c r="J14" s="746"/>
      <c r="K14" s="746"/>
      <c r="L14" s="746"/>
      <c r="M14" s="746"/>
      <c r="N14" s="746"/>
      <c r="O14" s="746"/>
      <c r="P14" s="746"/>
      <c r="Q14" s="747"/>
    </row>
    <row r="15" spans="1:17" ht="48.75" customHeight="1" x14ac:dyDescent="0.25">
      <c r="A15" s="700" t="s">
        <v>972</v>
      </c>
      <c r="B15" s="698"/>
      <c r="C15" s="698"/>
      <c r="D15" s="698"/>
      <c r="E15" s="698"/>
      <c r="F15" s="698"/>
      <c r="G15" s="698"/>
      <c r="H15" s="698"/>
      <c r="I15" s="698"/>
      <c r="J15" s="698"/>
      <c r="K15" s="698"/>
      <c r="L15" s="698"/>
      <c r="M15" s="698"/>
      <c r="N15" s="698"/>
      <c r="O15" s="698"/>
      <c r="P15" s="698"/>
      <c r="Q15" s="699"/>
    </row>
    <row r="16" spans="1:17" ht="99.75" customHeight="1" x14ac:dyDescent="0.25">
      <c r="A16" s="8" t="s">
        <v>16</v>
      </c>
      <c r="B16" s="9">
        <v>2024</v>
      </c>
      <c r="C16" s="697"/>
      <c r="D16" s="698"/>
      <c r="E16" s="698"/>
      <c r="F16" s="698"/>
      <c r="G16" s="698"/>
      <c r="H16" s="698"/>
      <c r="I16" s="698"/>
      <c r="J16" s="698"/>
      <c r="K16" s="698"/>
      <c r="L16" s="698"/>
      <c r="M16" s="698"/>
      <c r="N16" s="698"/>
      <c r="O16" s="698"/>
      <c r="P16" s="698"/>
      <c r="Q16" s="699"/>
    </row>
    <row r="17" spans="1:17" ht="48.75" customHeight="1" x14ac:dyDescent="0.25">
      <c r="A17" s="700" t="s">
        <v>972</v>
      </c>
      <c r="B17" s="698"/>
      <c r="C17" s="698"/>
      <c r="D17" s="698"/>
      <c r="E17" s="698"/>
      <c r="F17" s="698"/>
      <c r="G17" s="698"/>
      <c r="H17" s="698"/>
      <c r="I17" s="698"/>
      <c r="J17" s="698"/>
      <c r="K17" s="698"/>
      <c r="L17" s="698"/>
      <c r="M17" s="698"/>
      <c r="N17" s="698"/>
      <c r="O17" s="698"/>
      <c r="P17" s="698"/>
      <c r="Q17" s="699"/>
    </row>
    <row r="18" spans="1:17" ht="99.75" customHeight="1" x14ac:dyDescent="0.25">
      <c r="A18" s="8" t="s">
        <v>17</v>
      </c>
      <c r="B18" s="9">
        <v>2024</v>
      </c>
      <c r="C18" s="697"/>
      <c r="D18" s="698"/>
      <c r="E18" s="698"/>
      <c r="F18" s="698"/>
      <c r="G18" s="698"/>
      <c r="H18" s="698"/>
      <c r="I18" s="698"/>
      <c r="J18" s="698"/>
      <c r="K18" s="698"/>
      <c r="L18" s="698"/>
      <c r="M18" s="698"/>
      <c r="N18" s="698"/>
      <c r="O18" s="698"/>
      <c r="P18" s="698"/>
      <c r="Q18" s="699"/>
    </row>
    <row r="19" spans="1:17" ht="48.75" customHeight="1" x14ac:dyDescent="0.25">
      <c r="A19" s="700" t="s">
        <v>972</v>
      </c>
      <c r="B19" s="698"/>
      <c r="C19" s="698"/>
      <c r="D19" s="698"/>
      <c r="E19" s="698"/>
      <c r="F19" s="698"/>
      <c r="G19" s="698"/>
      <c r="H19" s="698"/>
      <c r="I19" s="698"/>
      <c r="J19" s="698"/>
      <c r="K19" s="698"/>
      <c r="L19" s="698"/>
      <c r="M19" s="698"/>
      <c r="N19" s="698"/>
      <c r="O19" s="698"/>
      <c r="P19" s="698"/>
      <c r="Q19" s="699"/>
    </row>
    <row r="20" spans="1:17" ht="99.75" customHeight="1" x14ac:dyDescent="0.25">
      <c r="A20" s="8" t="s">
        <v>18</v>
      </c>
      <c r="B20" s="9">
        <v>2024</v>
      </c>
      <c r="C20" s="697"/>
      <c r="D20" s="698"/>
      <c r="E20" s="698"/>
      <c r="F20" s="698"/>
      <c r="G20" s="698"/>
      <c r="H20" s="698"/>
      <c r="I20" s="698"/>
      <c r="J20" s="698"/>
      <c r="K20" s="698"/>
      <c r="L20" s="698"/>
      <c r="M20" s="698"/>
      <c r="N20" s="698"/>
      <c r="O20" s="698"/>
      <c r="P20" s="698"/>
      <c r="Q20" s="699"/>
    </row>
    <row r="21" spans="1:17" ht="48.75" customHeight="1" x14ac:dyDescent="0.25">
      <c r="A21" s="700" t="s">
        <v>972</v>
      </c>
      <c r="B21" s="698"/>
      <c r="C21" s="698"/>
      <c r="D21" s="698"/>
      <c r="E21" s="698"/>
      <c r="F21" s="698"/>
      <c r="G21" s="698"/>
      <c r="H21" s="698"/>
      <c r="I21" s="698"/>
      <c r="J21" s="698"/>
      <c r="K21" s="698"/>
      <c r="L21" s="698"/>
      <c r="M21" s="698"/>
      <c r="N21" s="698"/>
      <c r="O21" s="698"/>
      <c r="P21" s="698"/>
      <c r="Q21" s="699"/>
    </row>
    <row r="22" spans="1:17" ht="99.75" customHeight="1" x14ac:dyDescent="0.25">
      <c r="A22" s="8" t="s">
        <v>19</v>
      </c>
      <c r="B22" s="9">
        <v>2025</v>
      </c>
      <c r="C22" s="697"/>
      <c r="D22" s="698"/>
      <c r="E22" s="698"/>
      <c r="F22" s="698"/>
      <c r="G22" s="698"/>
      <c r="H22" s="698"/>
      <c r="I22" s="698"/>
      <c r="J22" s="698"/>
      <c r="K22" s="698"/>
      <c r="L22" s="698"/>
      <c r="M22" s="698"/>
      <c r="N22" s="698"/>
      <c r="O22" s="698"/>
      <c r="P22" s="698"/>
      <c r="Q22" s="699"/>
    </row>
    <row r="23" spans="1:17" ht="48.75" customHeight="1" x14ac:dyDescent="0.25">
      <c r="A23" s="700" t="s">
        <v>972</v>
      </c>
      <c r="B23" s="698"/>
      <c r="C23" s="698"/>
      <c r="D23" s="698"/>
      <c r="E23" s="698"/>
      <c r="F23" s="698"/>
      <c r="G23" s="698"/>
      <c r="H23" s="698"/>
      <c r="I23" s="698"/>
      <c r="J23" s="698"/>
      <c r="K23" s="698"/>
      <c r="L23" s="698"/>
      <c r="M23" s="698"/>
      <c r="N23" s="698"/>
      <c r="O23" s="698"/>
      <c r="P23" s="698"/>
      <c r="Q23" s="699"/>
    </row>
    <row r="24" spans="1:17" ht="99.75" customHeight="1" x14ac:dyDescent="0.25">
      <c r="A24" s="8" t="s">
        <v>20</v>
      </c>
      <c r="B24" s="9">
        <v>2025</v>
      </c>
      <c r="C24" s="697"/>
      <c r="D24" s="698"/>
      <c r="E24" s="698"/>
      <c r="F24" s="698"/>
      <c r="G24" s="698"/>
      <c r="H24" s="698"/>
      <c r="I24" s="698"/>
      <c r="J24" s="698"/>
      <c r="K24" s="698"/>
      <c r="L24" s="698"/>
      <c r="M24" s="698"/>
      <c r="N24" s="698"/>
      <c r="O24" s="698"/>
      <c r="P24" s="698"/>
      <c r="Q24" s="699"/>
    </row>
    <row r="25" spans="1:17" ht="48.75" customHeight="1" x14ac:dyDescent="0.25">
      <c r="A25" s="700" t="s">
        <v>972</v>
      </c>
      <c r="B25" s="698"/>
      <c r="C25" s="698"/>
      <c r="D25" s="698"/>
      <c r="E25" s="698"/>
      <c r="F25" s="698"/>
      <c r="G25" s="698"/>
      <c r="H25" s="698"/>
      <c r="I25" s="698"/>
      <c r="J25" s="698"/>
      <c r="K25" s="698"/>
      <c r="L25" s="698"/>
      <c r="M25" s="698"/>
      <c r="N25" s="698"/>
      <c r="O25" s="698"/>
      <c r="P25" s="698"/>
      <c r="Q25" s="699"/>
    </row>
    <row r="26" spans="1:17" ht="99.75" customHeight="1" x14ac:dyDescent="0.25">
      <c r="A26" s="8" t="s">
        <v>21</v>
      </c>
      <c r="B26" s="9">
        <v>2025</v>
      </c>
      <c r="C26" s="697"/>
      <c r="D26" s="698"/>
      <c r="E26" s="698"/>
      <c r="F26" s="698"/>
      <c r="G26" s="698"/>
      <c r="H26" s="698"/>
      <c r="I26" s="698"/>
      <c r="J26" s="698"/>
      <c r="K26" s="698"/>
      <c r="L26" s="698"/>
      <c r="M26" s="698"/>
      <c r="N26" s="698"/>
      <c r="O26" s="698"/>
      <c r="P26" s="698"/>
      <c r="Q26" s="699"/>
    </row>
    <row r="27" spans="1:17" ht="48.75" customHeight="1" x14ac:dyDescent="0.25">
      <c r="A27" s="700" t="s">
        <v>972</v>
      </c>
      <c r="B27" s="698"/>
      <c r="C27" s="698"/>
      <c r="D27" s="698"/>
      <c r="E27" s="698"/>
      <c r="F27" s="698"/>
      <c r="G27" s="698"/>
      <c r="H27" s="698"/>
      <c r="I27" s="698"/>
      <c r="J27" s="698"/>
      <c r="K27" s="698"/>
      <c r="L27" s="698"/>
      <c r="M27" s="698"/>
      <c r="N27" s="698"/>
      <c r="O27" s="698"/>
      <c r="P27" s="698"/>
      <c r="Q27" s="699"/>
    </row>
    <row r="28" spans="1:17" ht="99.75" customHeight="1" x14ac:dyDescent="0.25">
      <c r="A28" s="8" t="s">
        <v>22</v>
      </c>
      <c r="B28" s="9">
        <v>2025</v>
      </c>
      <c r="C28" s="697"/>
      <c r="D28" s="698"/>
      <c r="E28" s="698"/>
      <c r="F28" s="698"/>
      <c r="G28" s="698"/>
      <c r="H28" s="698"/>
      <c r="I28" s="698"/>
      <c r="J28" s="698"/>
      <c r="K28" s="698"/>
      <c r="L28" s="698"/>
      <c r="M28" s="698"/>
      <c r="N28" s="698"/>
      <c r="O28" s="698"/>
      <c r="P28" s="698"/>
      <c r="Q28" s="699"/>
    </row>
    <row r="29" spans="1:17" ht="48.75" customHeight="1" x14ac:dyDescent="0.25">
      <c r="A29" s="700" t="s">
        <v>972</v>
      </c>
      <c r="B29" s="698"/>
      <c r="C29" s="698"/>
      <c r="D29" s="698"/>
      <c r="E29" s="698"/>
      <c r="F29" s="698"/>
      <c r="G29" s="698"/>
      <c r="H29" s="698"/>
      <c r="I29" s="698"/>
      <c r="J29" s="698"/>
      <c r="K29" s="698"/>
      <c r="L29" s="698"/>
      <c r="M29" s="698"/>
      <c r="N29" s="698"/>
      <c r="O29" s="698"/>
      <c r="P29" s="698"/>
      <c r="Q29" s="699"/>
    </row>
    <row r="30" spans="1:17" ht="99.75" customHeight="1" x14ac:dyDescent="0.25">
      <c r="A30" s="8" t="s">
        <v>23</v>
      </c>
      <c r="B30" s="9">
        <v>2025</v>
      </c>
      <c r="C30" s="697"/>
      <c r="D30" s="698"/>
      <c r="E30" s="698"/>
      <c r="F30" s="698"/>
      <c r="G30" s="698"/>
      <c r="H30" s="698"/>
      <c r="I30" s="698"/>
      <c r="J30" s="698"/>
      <c r="K30" s="698"/>
      <c r="L30" s="698"/>
      <c r="M30" s="698"/>
      <c r="N30" s="698"/>
      <c r="O30" s="698"/>
      <c r="P30" s="698"/>
      <c r="Q30" s="699"/>
    </row>
    <row r="31" spans="1:17" ht="48.75" customHeight="1" x14ac:dyDescent="0.25">
      <c r="A31" s="700" t="s">
        <v>972</v>
      </c>
      <c r="B31" s="698"/>
      <c r="C31" s="698"/>
      <c r="D31" s="698"/>
      <c r="E31" s="698"/>
      <c r="F31" s="698"/>
      <c r="G31" s="698"/>
      <c r="H31" s="698"/>
      <c r="I31" s="698"/>
      <c r="J31" s="698"/>
      <c r="K31" s="698"/>
      <c r="L31" s="698"/>
      <c r="M31" s="698"/>
      <c r="N31" s="698"/>
      <c r="O31" s="698"/>
      <c r="P31" s="698"/>
      <c r="Q31" s="699"/>
    </row>
    <row r="32" spans="1:17" ht="99.75" customHeight="1" x14ac:dyDescent="0.25">
      <c r="A32" s="8" t="s">
        <v>24</v>
      </c>
      <c r="B32" s="9">
        <v>2025</v>
      </c>
      <c r="C32" s="701"/>
      <c r="D32" s="702"/>
      <c r="E32" s="702"/>
      <c r="F32" s="702"/>
      <c r="G32" s="702"/>
      <c r="H32" s="702"/>
      <c r="I32" s="702"/>
      <c r="J32" s="702"/>
      <c r="K32" s="702"/>
      <c r="L32" s="702"/>
      <c r="M32" s="702"/>
      <c r="N32" s="702"/>
      <c r="O32" s="702"/>
      <c r="P32" s="702"/>
      <c r="Q32" s="703"/>
    </row>
    <row r="33" spans="1:17" ht="48.75" customHeight="1" x14ac:dyDescent="0.25">
      <c r="A33" s="700" t="s">
        <v>972</v>
      </c>
      <c r="B33" s="698"/>
      <c r="C33" s="698"/>
      <c r="D33" s="698"/>
      <c r="E33" s="698"/>
      <c r="F33" s="698"/>
      <c r="G33" s="698"/>
      <c r="H33" s="698"/>
      <c r="I33" s="698"/>
      <c r="J33" s="698"/>
      <c r="K33" s="698"/>
      <c r="L33" s="698"/>
      <c r="M33" s="698"/>
      <c r="N33" s="698"/>
      <c r="O33" s="698"/>
      <c r="P33" s="698"/>
      <c r="Q33" s="699"/>
    </row>
    <row r="34" spans="1:17" ht="99.75" customHeight="1" x14ac:dyDescent="0.25">
      <c r="A34" s="8" t="s">
        <v>25</v>
      </c>
      <c r="B34" s="9">
        <v>2025</v>
      </c>
      <c r="C34" s="697"/>
      <c r="D34" s="698"/>
      <c r="E34" s="698"/>
      <c r="F34" s="698"/>
      <c r="G34" s="698"/>
      <c r="H34" s="698"/>
      <c r="I34" s="698"/>
      <c r="J34" s="698"/>
      <c r="K34" s="698"/>
      <c r="L34" s="698"/>
      <c r="M34" s="698"/>
      <c r="N34" s="698"/>
      <c r="O34" s="698"/>
      <c r="P34" s="698"/>
      <c r="Q34" s="699"/>
    </row>
    <row r="35" spans="1:17" ht="48.75" customHeight="1" x14ac:dyDescent="0.25">
      <c r="A35" s="700" t="s">
        <v>972</v>
      </c>
      <c r="B35" s="698"/>
      <c r="C35" s="698"/>
      <c r="D35" s="698"/>
      <c r="E35" s="698"/>
      <c r="F35" s="698"/>
      <c r="G35" s="698"/>
      <c r="H35" s="698"/>
      <c r="I35" s="698"/>
      <c r="J35" s="698"/>
      <c r="K35" s="698"/>
      <c r="L35" s="698"/>
      <c r="M35" s="698"/>
      <c r="N35" s="698"/>
      <c r="O35" s="698"/>
      <c r="P35" s="698"/>
      <c r="Q35" s="699"/>
    </row>
    <row r="36" spans="1:17" ht="99.75" customHeight="1" x14ac:dyDescent="0.25">
      <c r="A36" s="8" t="s">
        <v>26</v>
      </c>
      <c r="B36" s="9">
        <v>2025</v>
      </c>
      <c r="C36" s="697"/>
      <c r="D36" s="698"/>
      <c r="E36" s="698"/>
      <c r="F36" s="698"/>
      <c r="G36" s="698"/>
      <c r="H36" s="698"/>
      <c r="I36" s="698"/>
      <c r="J36" s="698"/>
      <c r="K36" s="698"/>
      <c r="L36" s="698"/>
      <c r="M36" s="698"/>
      <c r="N36" s="698"/>
      <c r="O36" s="698"/>
      <c r="P36" s="698"/>
      <c r="Q36" s="699"/>
    </row>
    <row r="37" spans="1:17" ht="48.75" customHeight="1" x14ac:dyDescent="0.25">
      <c r="A37" s="700" t="s">
        <v>972</v>
      </c>
      <c r="B37" s="698"/>
      <c r="C37" s="698"/>
      <c r="D37" s="698"/>
      <c r="E37" s="698"/>
      <c r="F37" s="698"/>
      <c r="G37" s="698"/>
      <c r="H37" s="698"/>
      <c r="I37" s="698"/>
      <c r="J37" s="698"/>
      <c r="K37" s="698"/>
      <c r="L37" s="698"/>
      <c r="M37" s="698"/>
      <c r="N37" s="698"/>
      <c r="O37" s="698"/>
      <c r="P37" s="698"/>
      <c r="Q37" s="699"/>
    </row>
    <row r="38" spans="1:17" ht="99.75" customHeight="1" x14ac:dyDescent="0.25">
      <c r="A38" s="8" t="s">
        <v>976</v>
      </c>
      <c r="B38" s="9">
        <v>2025</v>
      </c>
      <c r="C38" s="697"/>
      <c r="D38" s="698"/>
      <c r="E38" s="698"/>
      <c r="F38" s="698"/>
      <c r="G38" s="698"/>
      <c r="H38" s="698"/>
      <c r="I38" s="698"/>
      <c r="J38" s="698"/>
      <c r="K38" s="698"/>
      <c r="L38" s="698"/>
      <c r="M38" s="698"/>
      <c r="N38" s="698"/>
      <c r="O38" s="698"/>
      <c r="P38" s="698"/>
      <c r="Q38" s="699"/>
    </row>
    <row r="39" spans="1:17" ht="15.75" customHeight="1" x14ac:dyDescent="0.25"/>
    <row r="40" spans="1:17" ht="15.75" customHeight="1" x14ac:dyDescent="0.25"/>
    <row r="41" spans="1:17" ht="15.75" customHeight="1" x14ac:dyDescent="0.25"/>
    <row r="42" spans="1:17" ht="15.75" customHeight="1" x14ac:dyDescent="0.25"/>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sheetProtection algorithmName="SHA-512" hashValue="PERYQ4x4cnGHvTCyfJcuB4cSfKkTuzzJhtFFMDUquRnLIqcb6lHS398ulAnCA9DcJYKTschMMbmN6qGpU23nNQ==" saltValue="tKWuiRhTVAcSCCqmCOgi9g==" spinCount="100000" sheet="1" objects="1" scenarios="1"/>
  <mergeCells count="52">
    <mergeCell ref="A25:Q25"/>
    <mergeCell ref="C20:Q20"/>
    <mergeCell ref="A21:Q21"/>
    <mergeCell ref="C22:Q22"/>
    <mergeCell ref="A23:Q23"/>
    <mergeCell ref="C24:Q24"/>
    <mergeCell ref="A15:Q15"/>
    <mergeCell ref="C16:Q16"/>
    <mergeCell ref="A17:Q17"/>
    <mergeCell ref="C18:Q18"/>
    <mergeCell ref="A19:Q19"/>
    <mergeCell ref="A10:Q10"/>
    <mergeCell ref="A11:Q11"/>
    <mergeCell ref="A12:P12"/>
    <mergeCell ref="A13:Q13"/>
    <mergeCell ref="C14:Q14"/>
    <mergeCell ref="A9:D9"/>
    <mergeCell ref="E9:F9"/>
    <mergeCell ref="G9:H9"/>
    <mergeCell ref="I9:L9"/>
    <mergeCell ref="M9:Q9"/>
    <mergeCell ref="I7:L7"/>
    <mergeCell ref="M7:Q7"/>
    <mergeCell ref="I8:L8"/>
    <mergeCell ref="M8:Q8"/>
    <mergeCell ref="A5:D5"/>
    <mergeCell ref="A6:D6"/>
    <mergeCell ref="E6:H6"/>
    <mergeCell ref="I6:L6"/>
    <mergeCell ref="M6:Q6"/>
    <mergeCell ref="A7:D8"/>
    <mergeCell ref="E7:H8"/>
    <mergeCell ref="A1:Q1"/>
    <mergeCell ref="H2:K2"/>
    <mergeCell ref="A3:Q3"/>
    <mergeCell ref="A4:P4"/>
    <mergeCell ref="E5:H5"/>
    <mergeCell ref="I5:L5"/>
    <mergeCell ref="M5:Q5"/>
    <mergeCell ref="C36:Q36"/>
    <mergeCell ref="A37:Q37"/>
    <mergeCell ref="C38:Q38"/>
    <mergeCell ref="A31:Q31"/>
    <mergeCell ref="C32:Q32"/>
    <mergeCell ref="A33:Q33"/>
    <mergeCell ref="C34:Q34"/>
    <mergeCell ref="A35:Q35"/>
    <mergeCell ref="C26:Q26"/>
    <mergeCell ref="A27:Q27"/>
    <mergeCell ref="C28:Q28"/>
    <mergeCell ref="A29:Q29"/>
    <mergeCell ref="C30:Q30"/>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prompt="Select an option from Drop down list" xr:uid="{00000000-0002-0000-0100-000000000000}">
          <x14:formula1>
            <xm:f>'Pick List '!$H$196:$H$205</xm:f>
          </x14:formula1>
          <xm:sqref>B14 B16 B18 B20 B22 B24 B26 B28 B30 B32 B34 B36 B38</xm:sqref>
        </x14:dataValidation>
        <x14:dataValidation type="list" allowBlank="1" showInputMessage="1" showErrorMessage="1" prompt="Select an option from Drop down list" xr:uid="{00000000-0002-0000-0100-000001000000}">
          <x14:formula1>
            <xm:f>'Pick List '!$O$194:$O$202</xm:f>
          </x14:formula1>
          <xm:sqref>H2</xm:sqref>
        </x14:dataValidation>
        <x14:dataValidation type="list" allowBlank="1" showErrorMessage="1" xr:uid="{00000000-0002-0000-0100-000002000000}">
          <x14:formula1>
            <xm:f>'Pick List '!$A$4:$A$15</xm:f>
          </x14:formula1>
          <xm:sqref>E9</xm:sqref>
        </x14:dataValidation>
        <x14:dataValidation type="list" allowBlank="1" showInputMessage="1" showErrorMessage="1" prompt="Select an option from Drop down list" xr:uid="{00000000-0002-0000-0100-000003000000}">
          <x14:formula1>
            <xm:f>'Pick List '!$H$196:$H$204</xm:f>
          </x14:formula1>
          <xm:sqref>G9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85623"/>
  </sheetPr>
  <dimension ref="A1:DE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0.85546875" customWidth="1"/>
    <col min="4" max="6" width="12.42578125" customWidth="1"/>
    <col min="7" max="7" width="14.28515625" customWidth="1"/>
    <col min="8" max="13" width="14.42578125" customWidth="1"/>
    <col min="14" max="40" width="10.7109375" customWidth="1"/>
    <col min="41" max="43" width="14.42578125" customWidth="1"/>
    <col min="44" max="44" width="8.7109375" customWidth="1"/>
    <col min="45" max="45" width="11.140625" customWidth="1"/>
    <col min="46" max="46" width="19.28515625" customWidth="1"/>
    <col min="47" max="55" width="17" customWidth="1"/>
    <col min="56" max="109" width="8.7109375" customWidth="1"/>
  </cols>
  <sheetData>
    <row r="1" spans="1:109" ht="69.75" customHeight="1" x14ac:dyDescent="0.25">
      <c r="A1" s="89" t="s">
        <v>27</v>
      </c>
      <c r="B1" s="90" t="s">
        <v>212</v>
      </c>
      <c r="C1" s="91" t="s">
        <v>213</v>
      </c>
      <c r="D1" s="90" t="s">
        <v>214</v>
      </c>
      <c r="E1" s="225" t="s">
        <v>286</v>
      </c>
      <c r="F1" s="226" t="s">
        <v>287</v>
      </c>
      <c r="G1" s="91" t="s">
        <v>288</v>
      </c>
      <c r="H1" s="227" t="s">
        <v>289</v>
      </c>
      <c r="I1" s="228" t="s">
        <v>290</v>
      </c>
      <c r="J1" s="229" t="s">
        <v>291</v>
      </c>
      <c r="K1" s="228" t="s">
        <v>292</v>
      </c>
      <c r="L1" s="230" t="s">
        <v>293</v>
      </c>
      <c r="M1" s="231" t="s">
        <v>294</v>
      </c>
      <c r="N1" s="232" t="s">
        <v>295</v>
      </c>
      <c r="O1" s="232"/>
      <c r="P1" s="233" t="s">
        <v>296</v>
      </c>
      <c r="Q1" s="233"/>
      <c r="R1" s="232" t="s">
        <v>297</v>
      </c>
      <c r="S1" s="232"/>
      <c r="T1" s="233" t="s">
        <v>298</v>
      </c>
      <c r="U1" s="233"/>
      <c r="V1" s="232" t="s">
        <v>299</v>
      </c>
      <c r="W1" s="232"/>
      <c r="X1" s="233" t="s">
        <v>300</v>
      </c>
      <c r="Y1" s="233"/>
      <c r="Z1" s="232" t="s">
        <v>301</v>
      </c>
      <c r="AA1" s="232"/>
      <c r="AB1" s="233" t="s">
        <v>302</v>
      </c>
      <c r="AC1" s="233"/>
      <c r="AD1" s="232" t="s">
        <v>303</v>
      </c>
      <c r="AE1" s="232"/>
      <c r="AF1" s="233" t="s">
        <v>304</v>
      </c>
      <c r="AG1" s="233"/>
      <c r="AH1" s="232" t="s">
        <v>305</v>
      </c>
      <c r="AI1" s="232"/>
      <c r="AJ1" s="233" t="s">
        <v>306</v>
      </c>
      <c r="AK1" s="234"/>
      <c r="AL1" s="235" t="s">
        <v>307</v>
      </c>
      <c r="AM1" s="235"/>
      <c r="AN1" s="236" t="s">
        <v>308</v>
      </c>
      <c r="AO1" s="237"/>
      <c r="AP1" s="238"/>
      <c r="AQ1" s="239"/>
      <c r="AR1" s="240"/>
      <c r="AT1" s="241"/>
      <c r="AU1" s="242"/>
      <c r="AW1" s="243"/>
      <c r="AX1" s="244"/>
      <c r="AZ1" s="239"/>
      <c r="BA1" s="239"/>
      <c r="BC1" s="245"/>
      <c r="BD1" s="245"/>
    </row>
    <row r="2" spans="1:109" ht="15.75" x14ac:dyDescent="0.25">
      <c r="AN2" s="246"/>
      <c r="AO2" s="247"/>
      <c r="AP2" s="247"/>
      <c r="BH2" s="786" t="str">
        <f>'BASE GRANTEE INFO &amp; UPDATES'!A1</f>
        <v>WV Bureau For Behavioral Health - Harm Reduction 2025</v>
      </c>
      <c r="BI2" s="708"/>
      <c r="BJ2" s="708"/>
      <c r="BK2" s="708"/>
      <c r="BL2" s="708"/>
      <c r="BM2" s="708"/>
      <c r="BN2" s="708"/>
      <c r="BO2" s="708"/>
      <c r="BP2" s="708"/>
      <c r="BQ2" s="708"/>
      <c r="BR2" s="708"/>
      <c r="BS2" s="708"/>
      <c r="BT2" s="708"/>
      <c r="BU2" s="708"/>
      <c r="BV2" s="708"/>
      <c r="BW2" s="708"/>
      <c r="BX2" s="708"/>
      <c r="BY2" s="708"/>
      <c r="BZ2" s="708"/>
      <c r="CA2" s="708"/>
      <c r="CB2" s="709"/>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row>
    <row r="3" spans="1:109" ht="15.75" x14ac:dyDescent="0.25">
      <c r="BH3" s="786">
        <f>'BASE GRANTEE INFO &amp; UPDATES'!A2</f>
        <v>0</v>
      </c>
      <c r="BI3" s="708"/>
      <c r="BJ3" s="708"/>
      <c r="BK3" s="708"/>
      <c r="BL3" s="708"/>
      <c r="BM3" s="708"/>
      <c r="BN3" s="708"/>
      <c r="BO3" s="708"/>
      <c r="BP3" s="708"/>
      <c r="BQ3" s="708"/>
      <c r="BR3" s="708"/>
      <c r="BS3" s="708"/>
      <c r="BT3" s="708"/>
      <c r="BU3" s="708"/>
      <c r="BV3" s="708"/>
      <c r="BW3" s="708"/>
      <c r="BX3" s="708"/>
      <c r="BY3" s="708"/>
      <c r="BZ3" s="708"/>
      <c r="CA3" s="708"/>
      <c r="CB3" s="709"/>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row>
    <row r="4" spans="1:109" ht="15.75" x14ac:dyDescent="0.25">
      <c r="BH4" s="787" t="str">
        <f>'BASE GRANTEE INFO &amp; UPDATES'!A3</f>
        <v xml:space="preserve">Program reports need to be submitted electronically, via e-mail to BBHReporting@wv.gov  within 25 calendar days of the end of each month </v>
      </c>
      <c r="BI4" s="708"/>
      <c r="BJ4" s="708"/>
      <c r="BK4" s="708"/>
      <c r="BL4" s="708"/>
      <c r="BM4" s="708"/>
      <c r="BN4" s="708"/>
      <c r="BO4" s="708"/>
      <c r="BP4" s="708"/>
      <c r="BQ4" s="708"/>
      <c r="BR4" s="708"/>
      <c r="BS4" s="708"/>
      <c r="BT4" s="708"/>
      <c r="BU4" s="708"/>
      <c r="BV4" s="708"/>
      <c r="BW4" s="708"/>
      <c r="BX4" s="708"/>
      <c r="BY4" s="708"/>
      <c r="BZ4" s="708"/>
      <c r="CA4" s="708"/>
      <c r="CB4" s="709"/>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row>
    <row r="5" spans="1:109" ht="18.75" x14ac:dyDescent="0.25">
      <c r="BH5" s="835" t="s">
        <v>309</v>
      </c>
      <c r="BI5" s="708"/>
      <c r="BJ5" s="708"/>
      <c r="BK5" s="708"/>
      <c r="BL5" s="708"/>
      <c r="BM5" s="708"/>
      <c r="BN5" s="708"/>
      <c r="BO5" s="708"/>
      <c r="BP5" s="708"/>
      <c r="BQ5" s="708"/>
      <c r="BR5" s="708"/>
      <c r="BS5" s="708"/>
      <c r="BT5" s="708"/>
      <c r="BU5" s="708"/>
      <c r="BV5" s="708"/>
      <c r="BW5" s="708"/>
      <c r="BX5" s="708"/>
      <c r="BY5" s="708"/>
      <c r="BZ5" s="708"/>
      <c r="CA5" s="708"/>
      <c r="CB5" s="708"/>
      <c r="CC5" s="708"/>
      <c r="CD5" s="708"/>
      <c r="CE5" s="708"/>
      <c r="CF5" s="708"/>
      <c r="CG5" s="708"/>
      <c r="CH5" s="708"/>
      <c r="CI5" s="708"/>
      <c r="CJ5" s="708"/>
      <c r="CK5" s="708"/>
      <c r="CL5" s="708"/>
      <c r="CM5" s="708"/>
      <c r="CN5" s="708"/>
      <c r="CO5" s="708"/>
      <c r="CP5" s="708"/>
      <c r="CQ5" s="708"/>
      <c r="CR5" s="708"/>
      <c r="CS5" s="708"/>
      <c r="CT5" s="708"/>
      <c r="CU5" s="708"/>
      <c r="CV5" s="708"/>
      <c r="CW5" s="708"/>
      <c r="CX5" s="708"/>
      <c r="CY5" s="708"/>
      <c r="CZ5" s="709"/>
      <c r="DA5" s="168"/>
      <c r="DB5" s="168"/>
      <c r="DC5" s="168"/>
      <c r="DD5" s="168"/>
      <c r="DE5" s="168"/>
    </row>
    <row r="6" spans="1:109" ht="15" customHeight="1" x14ac:dyDescent="0.25">
      <c r="BH6" s="790" t="s">
        <v>310</v>
      </c>
      <c r="BI6" s="698"/>
      <c r="BJ6" s="698"/>
      <c r="BK6" s="699"/>
      <c r="BL6" s="794" t="str">
        <f>'BASE GRANTEE INFO &amp; UPDATES'!E5</f>
        <v>Harm Reduction Program</v>
      </c>
      <c r="BM6" s="698"/>
      <c r="BN6" s="698"/>
      <c r="BO6" s="698"/>
      <c r="BP6" s="698"/>
      <c r="BQ6" s="699"/>
      <c r="BR6" s="795" t="s">
        <v>0</v>
      </c>
      <c r="BS6" s="698"/>
      <c r="BT6" s="698"/>
      <c r="BU6" s="698"/>
      <c r="BV6" s="714"/>
      <c r="BW6" s="836">
        <f>'BASE GRANTEE INFO &amp; UPDATES'!M5</f>
        <v>0</v>
      </c>
      <c r="BX6" s="698"/>
      <c r="BY6" s="698"/>
      <c r="BZ6" s="698"/>
      <c r="CA6" s="698"/>
      <c r="CB6" s="714"/>
      <c r="CC6" s="98"/>
      <c r="CD6" s="99"/>
      <c r="CE6" s="99"/>
      <c r="CF6" s="99"/>
      <c r="CG6" s="99"/>
      <c r="CH6" s="99"/>
      <c r="CI6" s="99"/>
      <c r="CJ6" s="99"/>
      <c r="CK6" s="248"/>
      <c r="CL6" s="164"/>
      <c r="CM6" s="164"/>
      <c r="CN6" s="164"/>
      <c r="CO6" s="164"/>
      <c r="CP6" s="164"/>
      <c r="CQ6" s="164"/>
      <c r="CR6" s="164"/>
      <c r="CS6" s="164"/>
      <c r="CT6" s="164"/>
      <c r="CU6" s="164"/>
      <c r="CV6" s="164"/>
      <c r="CW6" s="164"/>
      <c r="CX6" s="164"/>
      <c r="CY6" s="164"/>
      <c r="CZ6" s="99"/>
      <c r="DA6" s="164"/>
      <c r="DB6" s="164"/>
      <c r="DC6" s="164"/>
      <c r="DD6" s="164"/>
      <c r="DE6" s="164"/>
    </row>
    <row r="7" spans="1:109" x14ac:dyDescent="0.25">
      <c r="BH7" s="790" t="s">
        <v>311</v>
      </c>
      <c r="BI7" s="698"/>
      <c r="BJ7" s="698"/>
      <c r="BK7" s="699"/>
      <c r="BL7" s="797">
        <f>'BASE GRANTEE INFO &amp; UPDATES'!E6</f>
        <v>0</v>
      </c>
      <c r="BM7" s="698"/>
      <c r="BN7" s="698"/>
      <c r="BO7" s="698"/>
      <c r="BP7" s="698"/>
      <c r="BQ7" s="699"/>
      <c r="BR7" s="795" t="s">
        <v>1</v>
      </c>
      <c r="BS7" s="698"/>
      <c r="BT7" s="698"/>
      <c r="BU7" s="698"/>
      <c r="BV7" s="714"/>
      <c r="BW7" s="836">
        <f>'BASE GRANTEE INFO &amp; UPDATES'!M6</f>
        <v>0</v>
      </c>
      <c r="BX7" s="698"/>
      <c r="BY7" s="698"/>
      <c r="BZ7" s="698"/>
      <c r="CA7" s="698"/>
      <c r="CB7" s="714"/>
      <c r="CC7" s="98"/>
      <c r="CD7" s="99"/>
      <c r="CE7" s="99"/>
      <c r="CF7" s="99"/>
      <c r="CG7" s="99"/>
      <c r="CH7" s="99"/>
      <c r="CI7" s="99"/>
      <c r="CJ7" s="99"/>
      <c r="CK7" s="248"/>
      <c r="CL7" s="164"/>
      <c r="CM7" s="164"/>
      <c r="CN7" s="164"/>
      <c r="CO7" s="164"/>
      <c r="CP7" s="164"/>
      <c r="CQ7" s="164"/>
      <c r="CR7" s="164"/>
      <c r="CS7" s="164"/>
      <c r="CT7" s="164"/>
      <c r="CU7" s="164"/>
      <c r="CV7" s="164"/>
      <c r="CW7" s="164"/>
      <c r="CX7" s="164"/>
      <c r="CY7" s="164"/>
      <c r="CZ7" s="99"/>
      <c r="DA7" s="164"/>
      <c r="DB7" s="164"/>
      <c r="DC7" s="164"/>
      <c r="DD7" s="164"/>
      <c r="DE7" s="164"/>
    </row>
    <row r="8" spans="1:109" ht="15" customHeight="1" x14ac:dyDescent="0.25">
      <c r="BH8" s="789" t="s">
        <v>2</v>
      </c>
      <c r="BI8" s="766"/>
      <c r="BJ8" s="766"/>
      <c r="BK8" s="767"/>
      <c r="BL8" s="798">
        <f>'BASE GRANTEE INFO &amp; UPDATES'!E7</f>
        <v>0</v>
      </c>
      <c r="BM8" s="766"/>
      <c r="BN8" s="766"/>
      <c r="BO8" s="766"/>
      <c r="BP8" s="766"/>
      <c r="BQ8" s="767"/>
      <c r="BR8" s="837" t="s">
        <v>3</v>
      </c>
      <c r="BS8" s="705"/>
      <c r="BT8" s="705"/>
      <c r="BU8" s="705"/>
      <c r="BV8" s="833"/>
      <c r="BW8" s="836">
        <f>'BASE GRANTEE INFO &amp; UPDATES'!M7</f>
        <v>0</v>
      </c>
      <c r="BX8" s="698"/>
      <c r="BY8" s="698"/>
      <c r="BZ8" s="698"/>
      <c r="CA8" s="698"/>
      <c r="CB8" s="714"/>
      <c r="CC8" s="98"/>
      <c r="CD8" s="99"/>
      <c r="CE8" s="99"/>
      <c r="CF8" s="99"/>
      <c r="CG8" s="99"/>
      <c r="CH8" s="99"/>
      <c r="CI8" s="99"/>
      <c r="CJ8" s="99"/>
      <c r="CK8" s="248"/>
      <c r="CL8" s="164"/>
      <c r="CM8" s="164"/>
      <c r="CN8" s="164"/>
      <c r="CO8" s="164"/>
      <c r="CP8" s="164"/>
      <c r="CQ8" s="164"/>
      <c r="CR8" s="164"/>
      <c r="CS8" s="164"/>
      <c r="CT8" s="164"/>
      <c r="CU8" s="164"/>
      <c r="CV8" s="164"/>
      <c r="CW8" s="164"/>
      <c r="CX8" s="164"/>
      <c r="CY8" s="164"/>
      <c r="CZ8" s="99"/>
      <c r="DA8" s="164"/>
      <c r="DB8" s="164"/>
      <c r="DC8" s="164"/>
      <c r="DD8" s="164"/>
      <c r="DE8" s="164"/>
    </row>
    <row r="9" spans="1:109" x14ac:dyDescent="0.25">
      <c r="BH9" s="768"/>
      <c r="BI9" s="769"/>
      <c r="BJ9" s="769"/>
      <c r="BK9" s="770"/>
      <c r="BL9" s="768"/>
      <c r="BM9" s="769"/>
      <c r="BN9" s="769"/>
      <c r="BO9" s="769"/>
      <c r="BP9" s="769"/>
      <c r="BQ9" s="770"/>
      <c r="BR9" s="838" t="s">
        <v>312</v>
      </c>
      <c r="BS9" s="711"/>
      <c r="BT9" s="711"/>
      <c r="BU9" s="711"/>
      <c r="BV9" s="757"/>
      <c r="BW9" s="836">
        <f>'BASE GRANTEE INFO &amp; UPDATES'!M8</f>
        <v>0</v>
      </c>
      <c r="BX9" s="698"/>
      <c r="BY9" s="698"/>
      <c r="BZ9" s="698"/>
      <c r="CA9" s="698"/>
      <c r="CB9" s="714"/>
      <c r="CC9" s="98"/>
      <c r="CD9" s="99"/>
      <c r="CE9" s="99"/>
      <c r="CF9" s="99"/>
      <c r="CG9" s="99"/>
      <c r="CH9" s="99"/>
      <c r="CI9" s="99"/>
      <c r="CJ9" s="99"/>
      <c r="CK9" s="99"/>
      <c r="CL9" s="164"/>
      <c r="CM9" s="164"/>
      <c r="CN9" s="164"/>
      <c r="CO9" s="164"/>
      <c r="CP9" s="164"/>
      <c r="CQ9" s="164"/>
      <c r="CR9" s="164"/>
      <c r="CS9" s="164"/>
      <c r="CT9" s="164"/>
      <c r="CU9" s="164"/>
      <c r="CV9" s="164"/>
      <c r="CW9" s="164"/>
      <c r="CX9" s="164"/>
      <c r="CY9" s="164"/>
      <c r="CZ9" s="99"/>
      <c r="DA9" s="164"/>
      <c r="DB9" s="164"/>
      <c r="DC9" s="164"/>
      <c r="DD9" s="164"/>
      <c r="DE9" s="164"/>
    </row>
    <row r="10" spans="1:109" x14ac:dyDescent="0.25">
      <c r="I10" s="49" t="s">
        <v>313</v>
      </c>
      <c r="BH10" s="790" t="s">
        <v>314</v>
      </c>
      <c r="BI10" s="698"/>
      <c r="BJ10" s="698"/>
      <c r="BK10" s="699"/>
      <c r="BL10" s="791" t="str">
        <f>'BASE GRANTEE INFO &amp; UPDATES'!E9</f>
        <v>September 1 - 30</v>
      </c>
      <c r="BM10" s="699"/>
      <c r="BN10" s="840">
        <f>'BASE GRANTEE INFO &amp; UPDATES'!G9</f>
        <v>2024</v>
      </c>
      <c r="BO10" s="698"/>
      <c r="BP10" s="698"/>
      <c r="BQ10" s="699"/>
      <c r="BR10" s="792" t="s">
        <v>315</v>
      </c>
      <c r="BS10" s="698"/>
      <c r="BT10" s="698"/>
      <c r="BU10" s="698"/>
      <c r="BV10" s="714"/>
      <c r="BW10" s="836">
        <f>'BASE GRANTEE INFO &amp; UPDATES'!M9</f>
        <v>0</v>
      </c>
      <c r="BX10" s="698"/>
      <c r="BY10" s="698"/>
      <c r="BZ10" s="698"/>
      <c r="CA10" s="698"/>
      <c r="CB10" s="714"/>
      <c r="CC10" s="249"/>
      <c r="CD10" s="250"/>
      <c r="CE10" s="250"/>
      <c r="CF10" s="250"/>
      <c r="CG10" s="250"/>
      <c r="CH10" s="250"/>
      <c r="CI10" s="250"/>
      <c r="CJ10" s="250"/>
      <c r="CK10" s="250"/>
      <c r="CL10" s="171"/>
      <c r="CM10" s="171"/>
      <c r="CN10" s="171"/>
      <c r="CO10" s="171"/>
      <c r="CP10" s="171"/>
      <c r="CQ10" s="171"/>
      <c r="CR10" s="171"/>
      <c r="CS10" s="171"/>
      <c r="CT10" s="171"/>
      <c r="CU10" s="171"/>
      <c r="CV10" s="171"/>
      <c r="CW10" s="171"/>
      <c r="CX10" s="171"/>
      <c r="CY10" s="171"/>
      <c r="CZ10" s="99"/>
      <c r="DA10" s="164"/>
      <c r="DB10" s="164"/>
      <c r="DC10" s="164"/>
      <c r="DD10" s="164"/>
      <c r="DE10" s="164"/>
    </row>
    <row r="11" spans="1:109" ht="18.75" x14ac:dyDescent="0.25">
      <c r="BH11" s="827" t="s">
        <v>316</v>
      </c>
      <c r="BI11" s="698"/>
      <c r="BJ11" s="698"/>
      <c r="BK11" s="698"/>
      <c r="BL11" s="698"/>
      <c r="BM11" s="714"/>
      <c r="BN11" s="841" t="s">
        <v>317</v>
      </c>
      <c r="BO11" s="698"/>
      <c r="BP11" s="699"/>
      <c r="BQ11" s="842" t="s">
        <v>318</v>
      </c>
      <c r="BR11" s="698"/>
      <c r="BS11" s="699"/>
      <c r="BT11" s="843" t="s">
        <v>319</v>
      </c>
      <c r="BU11" s="698"/>
      <c r="BV11" s="699"/>
      <c r="BW11" s="842" t="s">
        <v>320</v>
      </c>
      <c r="BX11" s="698"/>
      <c r="BY11" s="699"/>
      <c r="BZ11" s="843" t="s">
        <v>321</v>
      </c>
      <c r="CA11" s="698"/>
      <c r="CB11" s="699"/>
      <c r="CC11" s="842" t="s">
        <v>322</v>
      </c>
      <c r="CD11" s="698"/>
      <c r="CE11" s="699"/>
      <c r="CF11" s="841" t="s">
        <v>323</v>
      </c>
      <c r="CG11" s="698"/>
      <c r="CH11" s="699"/>
      <c r="CI11" s="827" t="s">
        <v>324</v>
      </c>
      <c r="CJ11" s="698"/>
      <c r="CK11" s="699"/>
      <c r="CL11" s="841" t="s">
        <v>325</v>
      </c>
      <c r="CM11" s="698"/>
      <c r="CN11" s="699"/>
      <c r="CO11" s="842" t="s">
        <v>204</v>
      </c>
      <c r="CP11" s="698"/>
      <c r="CQ11" s="699"/>
      <c r="CR11" s="841" t="s">
        <v>207</v>
      </c>
      <c r="CS11" s="698"/>
      <c r="CT11" s="699"/>
      <c r="CU11" s="827" t="s">
        <v>211</v>
      </c>
      <c r="CV11" s="698"/>
      <c r="CW11" s="699"/>
      <c r="CX11" s="251"/>
      <c r="CY11" s="251"/>
      <c r="CZ11" s="170"/>
      <c r="DA11" s="170"/>
      <c r="DB11" s="252"/>
      <c r="DC11" s="252"/>
      <c r="DD11" s="252"/>
      <c r="DE11" s="252"/>
    </row>
    <row r="12" spans="1:109" ht="64.5" customHeight="1" x14ac:dyDescent="0.25">
      <c r="A12" s="101" t="s">
        <v>27</v>
      </c>
      <c r="B12" s="253" t="s">
        <v>212</v>
      </c>
      <c r="C12" s="254" t="s">
        <v>213</v>
      </c>
      <c r="D12" s="253" t="s">
        <v>214</v>
      </c>
      <c r="E12" s="225" t="s">
        <v>286</v>
      </c>
      <c r="F12" s="226" t="s">
        <v>287</v>
      </c>
      <c r="G12" s="254" t="s">
        <v>326</v>
      </c>
      <c r="H12" s="227" t="s">
        <v>289</v>
      </c>
      <c r="I12" s="228" t="s">
        <v>327</v>
      </c>
      <c r="J12" s="229" t="s">
        <v>291</v>
      </c>
      <c r="K12" s="228" t="s">
        <v>328</v>
      </c>
      <c r="L12" s="230" t="s">
        <v>293</v>
      </c>
      <c r="M12" s="231" t="s">
        <v>329</v>
      </c>
      <c r="N12" s="232" t="s">
        <v>295</v>
      </c>
      <c r="O12" s="232"/>
      <c r="P12" s="233" t="s">
        <v>296</v>
      </c>
      <c r="Q12" s="233"/>
      <c r="R12" s="232" t="s">
        <v>297</v>
      </c>
      <c r="S12" s="232"/>
      <c r="T12" s="233" t="s">
        <v>298</v>
      </c>
      <c r="U12" s="233"/>
      <c r="V12" s="232" t="s">
        <v>299</v>
      </c>
      <c r="W12" s="232"/>
      <c r="X12" s="233" t="s">
        <v>300</v>
      </c>
      <c r="Y12" s="233"/>
      <c r="Z12" s="232" t="s">
        <v>301</v>
      </c>
      <c r="AA12" s="232"/>
      <c r="AB12" s="233" t="s">
        <v>302</v>
      </c>
      <c r="AC12" s="233"/>
      <c r="AD12" s="232" t="s">
        <v>303</v>
      </c>
      <c r="AE12" s="232"/>
      <c r="AF12" s="233" t="s">
        <v>304</v>
      </c>
      <c r="AG12" s="233"/>
      <c r="AH12" s="232" t="s">
        <v>305</v>
      </c>
      <c r="AI12" s="232"/>
      <c r="AJ12" s="233" t="s">
        <v>306</v>
      </c>
      <c r="AK12" s="234"/>
      <c r="AL12" s="235" t="s">
        <v>307</v>
      </c>
      <c r="AM12" s="235"/>
      <c r="AN12" s="236" t="s">
        <v>308</v>
      </c>
      <c r="AO12" s="237"/>
      <c r="AP12" s="247"/>
      <c r="AQ12" s="255"/>
      <c r="AR12" s="256" t="s">
        <v>330</v>
      </c>
      <c r="AS12" s="257" t="s">
        <v>331</v>
      </c>
      <c r="AT12" s="258" t="s">
        <v>332</v>
      </c>
      <c r="AU12" s="259" t="s">
        <v>333</v>
      </c>
      <c r="AV12" s="260"/>
      <c r="AW12" s="260"/>
      <c r="AX12" s="260"/>
      <c r="AY12" s="260"/>
      <c r="AZ12" s="260"/>
      <c r="BA12" s="260"/>
      <c r="BB12" s="260"/>
      <c r="BC12" s="260"/>
    </row>
    <row r="13" spans="1:109" ht="60" customHeight="1" x14ac:dyDescent="0.25">
      <c r="A13" s="109">
        <f>ROW(' 3SCREENING EVIDENCED BASED TX'!A1)</f>
        <v>1</v>
      </c>
      <c r="B13" s="110" t="e">
        <f>#REF!</f>
        <v>#REF!</v>
      </c>
      <c r="C13" s="111" t="e">
        <f>#REF!</f>
        <v>#REF!</v>
      </c>
      <c r="D13" s="112" t="e">
        <f>#REF!</f>
        <v>#REF!</v>
      </c>
      <c r="E13" s="261" t="s">
        <v>334</v>
      </c>
      <c r="F13" s="262" t="s">
        <v>12</v>
      </c>
      <c r="G13" s="113" t="e">
        <f>#REF!</f>
        <v>#REF!</v>
      </c>
      <c r="H13" s="263" t="s">
        <v>129</v>
      </c>
      <c r="I13" s="264"/>
      <c r="J13" s="263" t="s">
        <v>129</v>
      </c>
      <c r="K13" s="264"/>
      <c r="L13" s="263" t="s">
        <v>129</v>
      </c>
      <c r="M13" s="265"/>
      <c r="N13" s="263"/>
      <c r="O13" s="263"/>
      <c r="P13" s="264"/>
      <c r="Q13" s="264"/>
      <c r="R13" s="263"/>
      <c r="S13" s="263"/>
      <c r="T13" s="264"/>
      <c r="U13" s="264"/>
      <c r="V13" s="263"/>
      <c r="W13" s="263"/>
      <c r="X13" s="264"/>
      <c r="Y13" s="264"/>
      <c r="Z13" s="263"/>
      <c r="AA13" s="263"/>
      <c r="AB13" s="264"/>
      <c r="AC13" s="264"/>
      <c r="AD13" s="263"/>
      <c r="AE13" s="263"/>
      <c r="AF13" s="264"/>
      <c r="AG13" s="264"/>
      <c r="AH13" s="263"/>
      <c r="AI13" s="263"/>
      <c r="AJ13" s="264"/>
      <c r="AK13" s="264"/>
      <c r="AL13" s="263"/>
      <c r="AM13" s="263"/>
      <c r="AN13" s="264"/>
      <c r="AO13" s="266"/>
      <c r="AP13" s="267"/>
      <c r="AQ13" s="267"/>
      <c r="AR13" s="268" t="s">
        <v>129</v>
      </c>
      <c r="AS13" s="269">
        <v>44077</v>
      </c>
      <c r="AT13" s="270" t="s">
        <v>335</v>
      </c>
      <c r="AU13" s="271" t="s">
        <v>12</v>
      </c>
      <c r="AV13" s="272"/>
      <c r="AW13" s="272"/>
      <c r="AX13" s="272"/>
      <c r="AY13" s="272"/>
      <c r="AZ13" s="272"/>
      <c r="BA13" s="272"/>
      <c r="BB13" s="272"/>
      <c r="BC13" s="272"/>
      <c r="BK13" s="844" t="s">
        <v>336</v>
      </c>
      <c r="BL13" s="766"/>
      <c r="BM13" s="767"/>
      <c r="BN13" s="845" t="s">
        <v>337</v>
      </c>
      <c r="BO13" s="766"/>
      <c r="BP13" s="767"/>
      <c r="BQ13" s="846" t="s">
        <v>338</v>
      </c>
      <c r="BR13" s="766"/>
      <c r="BS13" s="767"/>
      <c r="BT13" s="847" t="s">
        <v>339</v>
      </c>
      <c r="BU13" s="766"/>
      <c r="BV13" s="766"/>
      <c r="BW13" s="766"/>
      <c r="BX13" s="766"/>
      <c r="BY13" s="766"/>
      <c r="BZ13" s="767"/>
      <c r="CA13" s="839" t="s">
        <v>340</v>
      </c>
      <c r="CB13" s="766"/>
      <c r="CC13" s="766"/>
      <c r="CD13" s="766"/>
      <c r="CE13" s="766"/>
      <c r="CF13" s="766"/>
      <c r="CG13" s="767"/>
    </row>
    <row r="14" spans="1:109" ht="39.75" customHeight="1" x14ac:dyDescent="0.25">
      <c r="A14" s="109">
        <f t="shared" ref="A14:A23" si="0">ROW(BH2)</f>
        <v>2</v>
      </c>
      <c r="B14" s="110" t="e">
        <f>#REF!</f>
        <v>#REF!</v>
      </c>
      <c r="C14" s="111" t="e">
        <f>#REF!</f>
        <v>#REF!</v>
      </c>
      <c r="D14" s="112" t="e">
        <f>#REF!</f>
        <v>#REF!</v>
      </c>
      <c r="E14" s="273" t="s">
        <v>341</v>
      </c>
      <c r="F14" s="274" t="s">
        <v>12</v>
      </c>
      <c r="G14" s="113" t="e">
        <f>#REF!</f>
        <v>#REF!</v>
      </c>
      <c r="H14" s="263" t="s">
        <v>230</v>
      </c>
      <c r="I14" s="264"/>
      <c r="J14" s="263"/>
      <c r="K14" s="264"/>
      <c r="L14" s="263"/>
      <c r="M14" s="265"/>
      <c r="N14" s="263"/>
      <c r="O14" s="263"/>
      <c r="P14" s="264"/>
      <c r="Q14" s="264"/>
      <c r="R14" s="263"/>
      <c r="S14" s="263"/>
      <c r="T14" s="264"/>
      <c r="U14" s="264"/>
      <c r="V14" s="263"/>
      <c r="W14" s="263"/>
      <c r="X14" s="264"/>
      <c r="Y14" s="264"/>
      <c r="Z14" s="263"/>
      <c r="AA14" s="263"/>
      <c r="AB14" s="264"/>
      <c r="AC14" s="264"/>
      <c r="AD14" s="263"/>
      <c r="AE14" s="263"/>
      <c r="AF14" s="264"/>
      <c r="AG14" s="264"/>
      <c r="AH14" s="263"/>
      <c r="AI14" s="263"/>
      <c r="AJ14" s="264"/>
      <c r="AK14" s="264"/>
      <c r="AL14" s="263"/>
      <c r="AM14" s="263"/>
      <c r="AN14" s="264"/>
      <c r="AO14" s="266"/>
      <c r="AP14" s="267"/>
      <c r="AQ14" s="267"/>
      <c r="AR14" s="268" t="s">
        <v>230</v>
      </c>
      <c r="AS14" s="269">
        <v>44107</v>
      </c>
      <c r="AT14" s="275" t="s">
        <v>342</v>
      </c>
      <c r="AU14" s="271" t="s">
        <v>12</v>
      </c>
      <c r="AV14" s="272"/>
      <c r="AW14" s="272"/>
      <c r="AX14" s="272"/>
      <c r="AY14" s="272"/>
      <c r="AZ14" s="272"/>
      <c r="BA14" s="272"/>
      <c r="BB14" s="272"/>
      <c r="BC14" s="272"/>
      <c r="BK14" s="768"/>
      <c r="BL14" s="769"/>
      <c r="BM14" s="770"/>
      <c r="BN14" s="768"/>
      <c r="BO14" s="769"/>
      <c r="BP14" s="770"/>
      <c r="BQ14" s="768"/>
      <c r="BR14" s="769"/>
      <c r="BS14" s="770"/>
      <c r="BT14" s="768"/>
      <c r="BU14" s="769"/>
      <c r="BV14" s="769"/>
      <c r="BW14" s="769"/>
      <c r="BX14" s="769"/>
      <c r="BY14" s="769"/>
      <c r="BZ14" s="770"/>
      <c r="CA14" s="768"/>
      <c r="CB14" s="769"/>
      <c r="CC14" s="769"/>
      <c r="CD14" s="769"/>
      <c r="CE14" s="769"/>
      <c r="CF14" s="769"/>
      <c r="CG14" s="770"/>
    </row>
    <row r="15" spans="1:109" ht="39.75" customHeight="1" x14ac:dyDescent="0.25">
      <c r="A15" s="109">
        <f t="shared" si="0"/>
        <v>3</v>
      </c>
      <c r="B15" s="110" t="e">
        <f>#REF!</f>
        <v>#REF!</v>
      </c>
      <c r="C15" s="111" t="e">
        <f>#REF!</f>
        <v>#REF!</v>
      </c>
      <c r="D15" s="112" t="e">
        <f>#REF!</f>
        <v>#REF!</v>
      </c>
      <c r="E15" s="273" t="s">
        <v>343</v>
      </c>
      <c r="F15" s="274" t="s">
        <v>12</v>
      </c>
      <c r="G15" s="113" t="e">
        <f>#REF!</f>
        <v>#REF!</v>
      </c>
      <c r="H15" s="263" t="s">
        <v>129</v>
      </c>
      <c r="I15" s="264"/>
      <c r="J15" s="263"/>
      <c r="K15" s="264"/>
      <c r="L15" s="263"/>
      <c r="M15" s="265"/>
      <c r="N15" s="263"/>
      <c r="O15" s="263"/>
      <c r="P15" s="264"/>
      <c r="Q15" s="264"/>
      <c r="R15" s="263"/>
      <c r="S15" s="263"/>
      <c r="T15" s="264"/>
      <c r="U15" s="264"/>
      <c r="V15" s="263"/>
      <c r="W15" s="263"/>
      <c r="X15" s="264"/>
      <c r="Y15" s="264"/>
      <c r="Z15" s="263"/>
      <c r="AA15" s="263"/>
      <c r="AB15" s="264"/>
      <c r="AC15" s="264"/>
      <c r="AD15" s="263"/>
      <c r="AE15" s="263"/>
      <c r="AF15" s="264"/>
      <c r="AG15" s="264"/>
      <c r="AH15" s="263"/>
      <c r="AI15" s="263"/>
      <c r="AJ15" s="264"/>
      <c r="AK15" s="264"/>
      <c r="AL15" s="263"/>
      <c r="AM15" s="263"/>
      <c r="AN15" s="264"/>
      <c r="AO15" s="266"/>
      <c r="AP15" s="267"/>
      <c r="AQ15" s="267"/>
      <c r="AR15" s="268" t="s">
        <v>129</v>
      </c>
      <c r="AS15" s="269">
        <v>44137</v>
      </c>
      <c r="AT15" s="275" t="s">
        <v>344</v>
      </c>
      <c r="AU15" s="271" t="s">
        <v>12</v>
      </c>
      <c r="AV15" s="272"/>
      <c r="AW15" s="272"/>
      <c r="AX15" s="272"/>
      <c r="AY15" s="272"/>
      <c r="AZ15" s="272"/>
      <c r="BA15" s="272"/>
      <c r="BB15" s="272"/>
      <c r="BC15" s="272"/>
    </row>
    <row r="16" spans="1:109" ht="39.75" customHeight="1" x14ac:dyDescent="0.25">
      <c r="A16" s="109">
        <f t="shared" si="0"/>
        <v>4</v>
      </c>
      <c r="B16" s="110" t="e">
        <f>#REF!</f>
        <v>#REF!</v>
      </c>
      <c r="C16" s="111" t="e">
        <f>#REF!</f>
        <v>#REF!</v>
      </c>
      <c r="D16" s="112" t="e">
        <f>#REF!</f>
        <v>#REF!</v>
      </c>
      <c r="E16" s="273" t="s">
        <v>345</v>
      </c>
      <c r="F16" s="274" t="s">
        <v>12</v>
      </c>
      <c r="G16" s="113" t="e">
        <f>#REF!</f>
        <v>#REF!</v>
      </c>
      <c r="H16" s="263" t="s">
        <v>230</v>
      </c>
      <c r="I16" s="264"/>
      <c r="J16" s="263"/>
      <c r="K16" s="264"/>
      <c r="L16" s="263"/>
      <c r="M16" s="265"/>
      <c r="N16" s="263"/>
      <c r="O16" s="263"/>
      <c r="P16" s="264"/>
      <c r="Q16" s="264"/>
      <c r="R16" s="263"/>
      <c r="S16" s="263"/>
      <c r="T16" s="264"/>
      <c r="U16" s="264"/>
      <c r="V16" s="263"/>
      <c r="W16" s="263"/>
      <c r="X16" s="264"/>
      <c r="Y16" s="264"/>
      <c r="Z16" s="263"/>
      <c r="AA16" s="263"/>
      <c r="AB16" s="264"/>
      <c r="AC16" s="264"/>
      <c r="AD16" s="263"/>
      <c r="AE16" s="263"/>
      <c r="AF16" s="264"/>
      <c r="AG16" s="264"/>
      <c r="AH16" s="263"/>
      <c r="AI16" s="263"/>
      <c r="AJ16" s="264"/>
      <c r="AK16" s="264"/>
      <c r="AL16" s="263"/>
      <c r="AM16" s="263"/>
      <c r="AN16" s="264"/>
      <c r="AO16" s="266"/>
      <c r="AP16" s="267"/>
      <c r="AQ16" s="267"/>
      <c r="AR16" s="268" t="s">
        <v>230</v>
      </c>
      <c r="AS16" s="269">
        <v>44170</v>
      </c>
      <c r="AT16" s="275" t="s">
        <v>346</v>
      </c>
      <c r="AU16" s="271" t="s">
        <v>12</v>
      </c>
      <c r="AV16" s="272"/>
      <c r="AW16" s="272"/>
      <c r="AX16" s="272"/>
      <c r="AY16" s="272"/>
      <c r="AZ16" s="272"/>
      <c r="BA16" s="272"/>
      <c r="BB16" s="272"/>
      <c r="BC16" s="272"/>
    </row>
    <row r="17" spans="1:55" ht="39.75" customHeight="1" x14ac:dyDescent="0.25">
      <c r="A17" s="109">
        <f t="shared" si="0"/>
        <v>5</v>
      </c>
      <c r="B17" s="110" t="e">
        <f>#REF!</f>
        <v>#REF!</v>
      </c>
      <c r="C17" s="111" t="e">
        <f>#REF!</f>
        <v>#REF!</v>
      </c>
      <c r="D17" s="112" t="e">
        <f>#REF!</f>
        <v>#REF!</v>
      </c>
      <c r="E17" s="273" t="s">
        <v>347</v>
      </c>
      <c r="F17" s="274" t="s">
        <v>12</v>
      </c>
      <c r="G17" s="113" t="e">
        <f>#REF!</f>
        <v>#REF!</v>
      </c>
      <c r="H17" s="263" t="s">
        <v>129</v>
      </c>
      <c r="I17" s="264"/>
      <c r="J17" s="263"/>
      <c r="K17" s="264"/>
      <c r="L17" s="263"/>
      <c r="M17" s="265"/>
      <c r="N17" s="263"/>
      <c r="O17" s="263"/>
      <c r="P17" s="264"/>
      <c r="Q17" s="264"/>
      <c r="R17" s="263"/>
      <c r="S17" s="263"/>
      <c r="T17" s="264"/>
      <c r="U17" s="264"/>
      <c r="V17" s="263"/>
      <c r="W17" s="263"/>
      <c r="X17" s="264"/>
      <c r="Y17" s="264"/>
      <c r="Z17" s="263"/>
      <c r="AA17" s="263"/>
      <c r="AB17" s="264"/>
      <c r="AC17" s="264"/>
      <c r="AD17" s="263"/>
      <c r="AE17" s="263"/>
      <c r="AF17" s="264"/>
      <c r="AG17" s="264"/>
      <c r="AH17" s="263"/>
      <c r="AI17" s="263"/>
      <c r="AJ17" s="264"/>
      <c r="AK17" s="264"/>
      <c r="AL17" s="263"/>
      <c r="AM17" s="263"/>
      <c r="AN17" s="264"/>
      <c r="AO17" s="266"/>
      <c r="AP17" s="267"/>
      <c r="AQ17" s="267"/>
      <c r="AR17" s="268" t="s">
        <v>129</v>
      </c>
      <c r="AS17" s="269">
        <v>44201</v>
      </c>
      <c r="AT17" s="270" t="s">
        <v>335</v>
      </c>
      <c r="AU17" s="271" t="s">
        <v>12</v>
      </c>
      <c r="AV17" s="272"/>
      <c r="AW17" s="272"/>
      <c r="AX17" s="272"/>
      <c r="AY17" s="272"/>
      <c r="AZ17" s="272"/>
      <c r="BA17" s="272"/>
      <c r="BB17" s="272"/>
      <c r="BC17" s="272"/>
    </row>
    <row r="18" spans="1:55" ht="39.75" customHeight="1" x14ac:dyDescent="0.25">
      <c r="A18" s="109">
        <f t="shared" si="0"/>
        <v>6</v>
      </c>
      <c r="B18" s="110" t="e">
        <f>#REF!</f>
        <v>#REF!</v>
      </c>
      <c r="C18" s="111" t="e">
        <f>#REF!</f>
        <v>#REF!</v>
      </c>
      <c r="D18" s="112" t="e">
        <f>#REF!</f>
        <v>#REF!</v>
      </c>
      <c r="E18" s="273" t="s">
        <v>348</v>
      </c>
      <c r="F18" s="274" t="s">
        <v>12</v>
      </c>
      <c r="G18" s="113" t="e">
        <f>#REF!</f>
        <v>#REF!</v>
      </c>
      <c r="H18" s="263" t="s">
        <v>230</v>
      </c>
      <c r="I18" s="264"/>
      <c r="J18" s="263"/>
      <c r="K18" s="264"/>
      <c r="L18" s="263"/>
      <c r="M18" s="265"/>
      <c r="N18" s="263"/>
      <c r="O18" s="263"/>
      <c r="P18" s="264"/>
      <c r="Q18" s="264"/>
      <c r="R18" s="263"/>
      <c r="S18" s="263"/>
      <c r="T18" s="264"/>
      <c r="U18" s="264"/>
      <c r="V18" s="263"/>
      <c r="W18" s="263"/>
      <c r="X18" s="264"/>
      <c r="Y18" s="264"/>
      <c r="Z18" s="263"/>
      <c r="AA18" s="263"/>
      <c r="AB18" s="264"/>
      <c r="AC18" s="264"/>
      <c r="AD18" s="263"/>
      <c r="AE18" s="263"/>
      <c r="AF18" s="264"/>
      <c r="AG18" s="264"/>
      <c r="AH18" s="263"/>
      <c r="AI18" s="263"/>
      <c r="AJ18" s="264"/>
      <c r="AK18" s="264"/>
      <c r="AL18" s="263"/>
      <c r="AM18" s="263"/>
      <c r="AN18" s="264"/>
      <c r="AO18" s="266"/>
      <c r="AP18" s="267"/>
      <c r="AQ18" s="267"/>
      <c r="AR18" s="268" t="s">
        <v>230</v>
      </c>
      <c r="AS18" s="269">
        <v>44230</v>
      </c>
      <c r="AT18" s="275" t="s">
        <v>342</v>
      </c>
      <c r="AU18" s="271" t="s">
        <v>12</v>
      </c>
      <c r="AV18" s="272"/>
      <c r="AW18" s="272"/>
      <c r="AX18" s="272"/>
      <c r="AY18" s="272"/>
      <c r="AZ18" s="272"/>
      <c r="BA18" s="272"/>
      <c r="BB18" s="272"/>
      <c r="BC18" s="272"/>
    </row>
    <row r="19" spans="1:55" ht="39.75" customHeight="1" x14ac:dyDescent="0.25">
      <c r="A19" s="109">
        <f t="shared" si="0"/>
        <v>7</v>
      </c>
      <c r="B19" s="110" t="e">
        <f>#REF!</f>
        <v>#REF!</v>
      </c>
      <c r="C19" s="111" t="e">
        <f>#REF!</f>
        <v>#REF!</v>
      </c>
      <c r="D19" s="112" t="e">
        <f>#REF!</f>
        <v>#REF!</v>
      </c>
      <c r="E19" s="273" t="s">
        <v>349</v>
      </c>
      <c r="F19" s="274" t="s">
        <v>12</v>
      </c>
      <c r="G19" s="113" t="e">
        <f>#REF!</f>
        <v>#REF!</v>
      </c>
      <c r="H19" s="263" t="s">
        <v>129</v>
      </c>
      <c r="I19" s="264"/>
      <c r="J19" s="263"/>
      <c r="K19" s="264"/>
      <c r="L19" s="263"/>
      <c r="M19" s="265"/>
      <c r="N19" s="263"/>
      <c r="O19" s="263"/>
      <c r="P19" s="264"/>
      <c r="Q19" s="264"/>
      <c r="R19" s="263"/>
      <c r="S19" s="263"/>
      <c r="T19" s="264"/>
      <c r="U19" s="264"/>
      <c r="V19" s="263"/>
      <c r="W19" s="263"/>
      <c r="X19" s="264"/>
      <c r="Y19" s="264"/>
      <c r="Z19" s="263"/>
      <c r="AA19" s="263"/>
      <c r="AB19" s="264"/>
      <c r="AC19" s="264"/>
      <c r="AD19" s="263"/>
      <c r="AE19" s="263"/>
      <c r="AF19" s="264"/>
      <c r="AG19" s="264"/>
      <c r="AH19" s="263"/>
      <c r="AI19" s="263"/>
      <c r="AJ19" s="264"/>
      <c r="AK19" s="264"/>
      <c r="AL19" s="263"/>
      <c r="AM19" s="263"/>
      <c r="AN19" s="264"/>
      <c r="AO19" s="266"/>
      <c r="AP19" s="267"/>
      <c r="AQ19" s="267"/>
      <c r="AR19" s="268" t="s">
        <v>129</v>
      </c>
      <c r="AS19" s="269">
        <v>44259</v>
      </c>
      <c r="AT19" s="275" t="s">
        <v>344</v>
      </c>
      <c r="AU19" s="271" t="s">
        <v>12</v>
      </c>
      <c r="AV19" s="272"/>
      <c r="AW19" s="272"/>
      <c r="AX19" s="272"/>
      <c r="AY19" s="272"/>
      <c r="AZ19" s="272"/>
      <c r="BA19" s="272"/>
      <c r="BB19" s="272"/>
      <c r="BC19" s="272"/>
    </row>
    <row r="20" spans="1:55" ht="39.75" customHeight="1" x14ac:dyDescent="0.25">
      <c r="A20" s="109">
        <f t="shared" si="0"/>
        <v>8</v>
      </c>
      <c r="B20" s="110" t="e">
        <f>#REF!</f>
        <v>#REF!</v>
      </c>
      <c r="C20" s="111" t="e">
        <f>#REF!</f>
        <v>#REF!</v>
      </c>
      <c r="D20" s="112" t="e">
        <f>#REF!</f>
        <v>#REF!</v>
      </c>
      <c r="E20" s="273" t="s">
        <v>350</v>
      </c>
      <c r="F20" s="274" t="s">
        <v>12</v>
      </c>
      <c r="G20" s="113" t="e">
        <f>#REF!</f>
        <v>#REF!</v>
      </c>
      <c r="H20" s="263" t="s">
        <v>230</v>
      </c>
      <c r="I20" s="264"/>
      <c r="J20" s="263"/>
      <c r="K20" s="264"/>
      <c r="L20" s="263"/>
      <c r="M20" s="265"/>
      <c r="N20" s="263"/>
      <c r="O20" s="263"/>
      <c r="P20" s="264"/>
      <c r="Q20" s="264"/>
      <c r="R20" s="263"/>
      <c r="S20" s="263"/>
      <c r="T20" s="264"/>
      <c r="U20" s="264"/>
      <c r="V20" s="263"/>
      <c r="W20" s="263"/>
      <c r="X20" s="264"/>
      <c r="Y20" s="264"/>
      <c r="Z20" s="263"/>
      <c r="AA20" s="263"/>
      <c r="AB20" s="264"/>
      <c r="AC20" s="264"/>
      <c r="AD20" s="263"/>
      <c r="AE20" s="263"/>
      <c r="AF20" s="264"/>
      <c r="AG20" s="264"/>
      <c r="AH20" s="263"/>
      <c r="AI20" s="263"/>
      <c r="AJ20" s="264"/>
      <c r="AK20" s="264"/>
      <c r="AL20" s="263"/>
      <c r="AM20" s="263"/>
      <c r="AN20" s="264"/>
      <c r="AO20" s="266"/>
      <c r="AP20" s="267"/>
      <c r="AQ20" s="267"/>
      <c r="AR20" s="268" t="s">
        <v>230</v>
      </c>
      <c r="AS20" s="269">
        <v>44291</v>
      </c>
      <c r="AT20" s="275" t="s">
        <v>346</v>
      </c>
      <c r="AU20" s="271" t="s">
        <v>12</v>
      </c>
      <c r="AV20" s="272"/>
      <c r="AW20" s="272"/>
      <c r="AX20" s="272"/>
      <c r="AY20" s="272"/>
      <c r="AZ20" s="272"/>
      <c r="BA20" s="272"/>
      <c r="BB20" s="272"/>
      <c r="BC20" s="272"/>
    </row>
    <row r="21" spans="1:55" ht="39.75" customHeight="1" x14ac:dyDescent="0.25">
      <c r="A21" s="109">
        <f t="shared" si="0"/>
        <v>9</v>
      </c>
      <c r="B21" s="110" t="e">
        <f>#REF!</f>
        <v>#REF!</v>
      </c>
      <c r="C21" s="111" t="e">
        <f>#REF!</f>
        <v>#REF!</v>
      </c>
      <c r="D21" s="112" t="e">
        <f>#REF!</f>
        <v>#REF!</v>
      </c>
      <c r="E21" s="273" t="s">
        <v>351</v>
      </c>
      <c r="F21" s="274" t="s">
        <v>12</v>
      </c>
      <c r="G21" s="113" t="e">
        <f>#REF!</f>
        <v>#REF!</v>
      </c>
      <c r="H21" s="263" t="s">
        <v>129</v>
      </c>
      <c r="I21" s="264"/>
      <c r="J21" s="263"/>
      <c r="K21" s="264"/>
      <c r="L21" s="263"/>
      <c r="M21" s="265"/>
      <c r="N21" s="263"/>
      <c r="O21" s="263"/>
      <c r="P21" s="264"/>
      <c r="Q21" s="264"/>
      <c r="R21" s="263"/>
      <c r="S21" s="263"/>
      <c r="T21" s="264"/>
      <c r="U21" s="264"/>
      <c r="V21" s="263"/>
      <c r="W21" s="263"/>
      <c r="X21" s="264"/>
      <c r="Y21" s="264"/>
      <c r="Z21" s="263"/>
      <c r="AA21" s="263"/>
      <c r="AB21" s="264"/>
      <c r="AC21" s="264"/>
      <c r="AD21" s="263"/>
      <c r="AE21" s="263"/>
      <c r="AF21" s="264"/>
      <c r="AG21" s="264"/>
      <c r="AH21" s="263"/>
      <c r="AI21" s="263"/>
      <c r="AJ21" s="264"/>
      <c r="AK21" s="264"/>
      <c r="AL21" s="263"/>
      <c r="AM21" s="263"/>
      <c r="AN21" s="264"/>
      <c r="AO21" s="266"/>
      <c r="AP21" s="267"/>
      <c r="AQ21" s="267"/>
      <c r="AR21" s="268" t="s">
        <v>129</v>
      </c>
      <c r="AS21" s="269">
        <v>44319</v>
      </c>
      <c r="AT21" s="270" t="s">
        <v>335</v>
      </c>
      <c r="AU21" s="271" t="s">
        <v>12</v>
      </c>
      <c r="AV21" s="272"/>
      <c r="AW21" s="272"/>
      <c r="AX21" s="272"/>
      <c r="AY21" s="272"/>
      <c r="AZ21" s="272"/>
      <c r="BA21" s="272"/>
      <c r="BB21" s="272"/>
      <c r="BC21" s="272"/>
    </row>
    <row r="22" spans="1:55" ht="39.75" customHeight="1" x14ac:dyDescent="0.25">
      <c r="A22" s="109">
        <f t="shared" si="0"/>
        <v>10</v>
      </c>
      <c r="B22" s="110" t="e">
        <f>#REF!</f>
        <v>#REF!</v>
      </c>
      <c r="C22" s="111" t="e">
        <f>#REF!</f>
        <v>#REF!</v>
      </c>
      <c r="D22" s="112" t="e">
        <f>#REF!</f>
        <v>#REF!</v>
      </c>
      <c r="E22" s="273" t="s">
        <v>352</v>
      </c>
      <c r="F22" s="274" t="s">
        <v>12</v>
      </c>
      <c r="G22" s="113" t="e">
        <f>#REF!</f>
        <v>#REF!</v>
      </c>
      <c r="H22" s="263" t="s">
        <v>230</v>
      </c>
      <c r="I22" s="264"/>
      <c r="J22" s="263"/>
      <c r="K22" s="264"/>
      <c r="L22" s="263"/>
      <c r="M22" s="265"/>
      <c r="N22" s="263"/>
      <c r="O22" s="263"/>
      <c r="P22" s="264"/>
      <c r="Q22" s="264"/>
      <c r="R22" s="263"/>
      <c r="S22" s="263"/>
      <c r="T22" s="264"/>
      <c r="U22" s="264"/>
      <c r="V22" s="263"/>
      <c r="W22" s="263"/>
      <c r="X22" s="264"/>
      <c r="Y22" s="264"/>
      <c r="Z22" s="263"/>
      <c r="AA22" s="263"/>
      <c r="AB22" s="264"/>
      <c r="AC22" s="264"/>
      <c r="AD22" s="263"/>
      <c r="AE22" s="263"/>
      <c r="AF22" s="264"/>
      <c r="AG22" s="264"/>
      <c r="AH22" s="263"/>
      <c r="AI22" s="263"/>
      <c r="AJ22" s="264"/>
      <c r="AK22" s="264"/>
      <c r="AL22" s="263"/>
      <c r="AM22" s="263"/>
      <c r="AN22" s="264"/>
      <c r="AO22" s="266"/>
      <c r="AP22" s="267"/>
      <c r="AQ22" s="267"/>
      <c r="AR22" s="268" t="s">
        <v>230</v>
      </c>
      <c r="AS22" s="269">
        <v>44351</v>
      </c>
      <c r="AT22" s="275" t="s">
        <v>342</v>
      </c>
      <c r="AU22" s="271" t="s">
        <v>12</v>
      </c>
      <c r="AV22" s="272"/>
      <c r="AW22" s="272"/>
      <c r="AX22" s="272"/>
      <c r="AY22" s="272"/>
      <c r="AZ22" s="272"/>
      <c r="BA22" s="272"/>
      <c r="BB22" s="272"/>
      <c r="BC22" s="272"/>
    </row>
    <row r="23" spans="1:55" ht="39.75" customHeight="1" x14ac:dyDescent="0.25">
      <c r="A23" s="109">
        <f t="shared" si="0"/>
        <v>11</v>
      </c>
      <c r="B23" s="110" t="e">
        <f>#REF!</f>
        <v>#REF!</v>
      </c>
      <c r="C23" s="111" t="e">
        <f>#REF!</f>
        <v>#REF!</v>
      </c>
      <c r="D23" s="112" t="e">
        <f>#REF!</f>
        <v>#REF!</v>
      </c>
      <c r="E23" s="273" t="s">
        <v>353</v>
      </c>
      <c r="F23" s="274" t="s">
        <v>12</v>
      </c>
      <c r="G23" s="113" t="e">
        <f>#REF!</f>
        <v>#REF!</v>
      </c>
      <c r="H23" s="263" t="s">
        <v>129</v>
      </c>
      <c r="I23" s="264"/>
      <c r="J23" s="263"/>
      <c r="K23" s="264"/>
      <c r="L23" s="263"/>
      <c r="M23" s="265"/>
      <c r="N23" s="263"/>
      <c r="O23" s="263"/>
      <c r="P23" s="264"/>
      <c r="Q23" s="264"/>
      <c r="R23" s="263"/>
      <c r="S23" s="263"/>
      <c r="T23" s="264"/>
      <c r="U23" s="264"/>
      <c r="V23" s="263"/>
      <c r="W23" s="263"/>
      <c r="X23" s="264"/>
      <c r="Y23" s="264"/>
      <c r="Z23" s="263"/>
      <c r="AA23" s="263"/>
      <c r="AB23" s="264"/>
      <c r="AC23" s="264"/>
      <c r="AD23" s="263"/>
      <c r="AE23" s="263"/>
      <c r="AF23" s="264"/>
      <c r="AG23" s="264"/>
      <c r="AH23" s="263"/>
      <c r="AI23" s="263"/>
      <c r="AJ23" s="264"/>
      <c r="AK23" s="264"/>
      <c r="AL23" s="263"/>
      <c r="AM23" s="263"/>
      <c r="AN23" s="264"/>
      <c r="AO23" s="266"/>
      <c r="AP23" s="267"/>
      <c r="AQ23" s="267"/>
      <c r="AR23" s="268" t="s">
        <v>129</v>
      </c>
      <c r="AS23" s="269">
        <v>44379</v>
      </c>
      <c r="AT23" s="270" t="s">
        <v>335</v>
      </c>
      <c r="AU23" s="276"/>
    </row>
    <row r="24" spans="1:55" ht="39.75" customHeight="1" x14ac:dyDescent="0.25">
      <c r="A24" s="109">
        <f t="shared" ref="A24:A62" si="1">ROW(A12)</f>
        <v>12</v>
      </c>
      <c r="B24" s="110" t="e">
        <f>#REF!</f>
        <v>#REF!</v>
      </c>
      <c r="C24" s="111" t="e">
        <f>#REF!</f>
        <v>#REF!</v>
      </c>
      <c r="D24" s="112" t="e">
        <f>#REF!</f>
        <v>#REF!</v>
      </c>
      <c r="E24" s="261" t="s">
        <v>334</v>
      </c>
      <c r="F24" s="274" t="s">
        <v>12</v>
      </c>
      <c r="G24" s="113" t="e">
        <f>#REF!</f>
        <v>#REF!</v>
      </c>
      <c r="H24" s="263" t="s">
        <v>230</v>
      </c>
      <c r="I24" s="264"/>
      <c r="J24" s="263"/>
      <c r="K24" s="264"/>
      <c r="L24" s="263"/>
      <c r="M24" s="265"/>
      <c r="N24" s="263"/>
      <c r="O24" s="263"/>
      <c r="P24" s="264"/>
      <c r="Q24" s="264"/>
      <c r="R24" s="263"/>
      <c r="S24" s="263"/>
      <c r="T24" s="264"/>
      <c r="U24" s="264"/>
      <c r="V24" s="263"/>
      <c r="W24" s="263"/>
      <c r="X24" s="264"/>
      <c r="Y24" s="264"/>
      <c r="Z24" s="263"/>
      <c r="AA24" s="263"/>
      <c r="AB24" s="264"/>
      <c r="AC24" s="264"/>
      <c r="AD24" s="263"/>
      <c r="AE24" s="263"/>
      <c r="AF24" s="264"/>
      <c r="AG24" s="264"/>
      <c r="AH24" s="263"/>
      <c r="AI24" s="263"/>
      <c r="AJ24" s="264"/>
      <c r="AK24" s="264"/>
      <c r="AL24" s="263"/>
      <c r="AM24" s="263"/>
      <c r="AN24" s="264"/>
      <c r="AO24" s="266"/>
      <c r="AP24" s="267"/>
      <c r="AQ24" s="267"/>
      <c r="AR24" s="268" t="s">
        <v>230</v>
      </c>
      <c r="AS24" s="269">
        <v>44412</v>
      </c>
      <c r="AT24" s="275" t="s">
        <v>342</v>
      </c>
      <c r="AU24" s="276"/>
    </row>
    <row r="25" spans="1:55" ht="39.75" customHeight="1" x14ac:dyDescent="0.25">
      <c r="A25" s="109">
        <f t="shared" si="1"/>
        <v>13</v>
      </c>
      <c r="B25" s="110" t="e">
        <f>#REF!</f>
        <v>#REF!</v>
      </c>
      <c r="C25" s="111" t="e">
        <f>#REF!</f>
        <v>#REF!</v>
      </c>
      <c r="D25" s="112" t="e">
        <f>#REF!</f>
        <v>#REF!</v>
      </c>
      <c r="E25" s="273" t="s">
        <v>341</v>
      </c>
      <c r="F25" s="274" t="s">
        <v>12</v>
      </c>
      <c r="G25" s="113" t="e">
        <f>#REF!</f>
        <v>#REF!</v>
      </c>
      <c r="H25" s="263" t="s">
        <v>129</v>
      </c>
      <c r="I25" s="264"/>
      <c r="J25" s="263"/>
      <c r="K25" s="264"/>
      <c r="L25" s="263"/>
      <c r="M25" s="265"/>
      <c r="N25" s="263"/>
      <c r="O25" s="263"/>
      <c r="P25" s="264"/>
      <c r="Q25" s="264"/>
      <c r="R25" s="263"/>
      <c r="S25" s="263"/>
      <c r="T25" s="264"/>
      <c r="U25" s="264"/>
      <c r="V25" s="263"/>
      <c r="W25" s="263"/>
      <c r="X25" s="264"/>
      <c r="Y25" s="264"/>
      <c r="Z25" s="263"/>
      <c r="AA25" s="263"/>
      <c r="AB25" s="264"/>
      <c r="AC25" s="264"/>
      <c r="AD25" s="263"/>
      <c r="AE25" s="263"/>
      <c r="AF25" s="264"/>
      <c r="AG25" s="264"/>
      <c r="AH25" s="263"/>
      <c r="AI25" s="263"/>
      <c r="AJ25" s="264"/>
      <c r="AK25" s="264"/>
      <c r="AL25" s="263"/>
      <c r="AM25" s="263"/>
      <c r="AN25" s="264"/>
      <c r="AO25" s="266"/>
      <c r="AP25" s="267"/>
      <c r="AQ25" s="267"/>
      <c r="AR25" s="268" t="s">
        <v>129</v>
      </c>
      <c r="AS25" s="269">
        <v>44077</v>
      </c>
      <c r="AT25" s="275" t="s">
        <v>344</v>
      </c>
      <c r="AU25" s="276"/>
    </row>
    <row r="26" spans="1:55" ht="39.75" customHeight="1" x14ac:dyDescent="0.25">
      <c r="A26" s="109">
        <f t="shared" si="1"/>
        <v>14</v>
      </c>
      <c r="B26" s="110" t="e">
        <f>#REF!</f>
        <v>#REF!</v>
      </c>
      <c r="C26" s="111" t="e">
        <f>#REF!</f>
        <v>#REF!</v>
      </c>
      <c r="D26" s="112" t="e">
        <f>#REF!</f>
        <v>#REF!</v>
      </c>
      <c r="E26" s="273" t="s">
        <v>343</v>
      </c>
      <c r="F26" s="274" t="s">
        <v>12</v>
      </c>
      <c r="G26" s="113" t="e">
        <f>#REF!</f>
        <v>#REF!</v>
      </c>
      <c r="H26" s="263" t="s">
        <v>230</v>
      </c>
      <c r="I26" s="264"/>
      <c r="J26" s="263"/>
      <c r="K26" s="264"/>
      <c r="L26" s="263"/>
      <c r="M26" s="265"/>
      <c r="N26" s="263"/>
      <c r="O26" s="263"/>
      <c r="P26" s="264"/>
      <c r="Q26" s="264"/>
      <c r="R26" s="263"/>
      <c r="S26" s="263"/>
      <c r="T26" s="264"/>
      <c r="U26" s="264"/>
      <c r="V26" s="263"/>
      <c r="W26" s="263"/>
      <c r="X26" s="264"/>
      <c r="Y26" s="264"/>
      <c r="Z26" s="263"/>
      <c r="AA26" s="263"/>
      <c r="AB26" s="264"/>
      <c r="AC26" s="264"/>
      <c r="AD26" s="263"/>
      <c r="AE26" s="263"/>
      <c r="AF26" s="264"/>
      <c r="AG26" s="264"/>
      <c r="AH26" s="263"/>
      <c r="AI26" s="263"/>
      <c r="AJ26" s="264"/>
      <c r="AK26" s="264"/>
      <c r="AL26" s="263"/>
      <c r="AM26" s="263"/>
      <c r="AN26" s="264"/>
      <c r="AO26" s="266"/>
      <c r="AP26" s="267"/>
      <c r="AQ26" s="267"/>
      <c r="AR26" s="268" t="s">
        <v>230</v>
      </c>
      <c r="AS26" s="269">
        <v>44077</v>
      </c>
      <c r="AT26" s="275" t="s">
        <v>346</v>
      </c>
      <c r="AU26" s="276"/>
    </row>
    <row r="27" spans="1:55" ht="39.75" customHeight="1" x14ac:dyDescent="0.25">
      <c r="A27" s="109">
        <f t="shared" si="1"/>
        <v>15</v>
      </c>
      <c r="B27" s="110" t="e">
        <f>#REF!</f>
        <v>#REF!</v>
      </c>
      <c r="C27" s="111" t="e">
        <f>#REF!</f>
        <v>#REF!</v>
      </c>
      <c r="D27" s="112" t="e">
        <f>#REF!</f>
        <v>#REF!</v>
      </c>
      <c r="E27" s="273" t="s">
        <v>345</v>
      </c>
      <c r="F27" s="274" t="s">
        <v>12</v>
      </c>
      <c r="G27" s="113" t="e">
        <f>#REF!</f>
        <v>#REF!</v>
      </c>
      <c r="H27" s="263" t="s">
        <v>129</v>
      </c>
      <c r="I27" s="264"/>
      <c r="J27" s="263"/>
      <c r="K27" s="264"/>
      <c r="L27" s="263"/>
      <c r="M27" s="265"/>
      <c r="N27" s="263"/>
      <c r="O27" s="263"/>
      <c r="P27" s="264"/>
      <c r="Q27" s="264"/>
      <c r="R27" s="263"/>
      <c r="S27" s="263"/>
      <c r="T27" s="264"/>
      <c r="U27" s="264"/>
      <c r="V27" s="263"/>
      <c r="W27" s="263"/>
      <c r="X27" s="264"/>
      <c r="Y27" s="264"/>
      <c r="Z27" s="263"/>
      <c r="AA27" s="263"/>
      <c r="AB27" s="264"/>
      <c r="AC27" s="264"/>
      <c r="AD27" s="263"/>
      <c r="AE27" s="263"/>
      <c r="AF27" s="264"/>
      <c r="AG27" s="264"/>
      <c r="AH27" s="263"/>
      <c r="AI27" s="263"/>
      <c r="AJ27" s="264"/>
      <c r="AK27" s="264"/>
      <c r="AL27" s="263"/>
      <c r="AM27" s="263"/>
      <c r="AN27" s="264"/>
      <c r="AO27" s="266"/>
      <c r="AP27" s="267"/>
      <c r="AQ27" s="267"/>
      <c r="AR27" s="268" t="s">
        <v>129</v>
      </c>
      <c r="AS27" s="269">
        <v>44137</v>
      </c>
      <c r="AT27" s="270" t="s">
        <v>335</v>
      </c>
      <c r="AU27" s="276"/>
    </row>
    <row r="28" spans="1:55" ht="39.75" customHeight="1" x14ac:dyDescent="0.25">
      <c r="A28" s="109">
        <f t="shared" si="1"/>
        <v>16</v>
      </c>
      <c r="B28" s="110" t="e">
        <f>#REF!</f>
        <v>#REF!</v>
      </c>
      <c r="C28" s="111" t="e">
        <f>#REF!</f>
        <v>#REF!</v>
      </c>
      <c r="D28" s="112" t="e">
        <f>#REF!</f>
        <v>#REF!</v>
      </c>
      <c r="E28" s="273" t="s">
        <v>347</v>
      </c>
      <c r="F28" s="274" t="s">
        <v>12</v>
      </c>
      <c r="G28" s="113" t="e">
        <f>#REF!</f>
        <v>#REF!</v>
      </c>
      <c r="H28" s="263" t="s">
        <v>230</v>
      </c>
      <c r="I28" s="264"/>
      <c r="J28" s="263"/>
      <c r="K28" s="264"/>
      <c r="L28" s="263"/>
      <c r="M28" s="265"/>
      <c r="N28" s="263"/>
      <c r="O28" s="263"/>
      <c r="P28" s="264"/>
      <c r="Q28" s="264"/>
      <c r="R28" s="263"/>
      <c r="S28" s="263"/>
      <c r="T28" s="264"/>
      <c r="U28" s="264"/>
      <c r="V28" s="263"/>
      <c r="W28" s="263"/>
      <c r="X28" s="264"/>
      <c r="Y28" s="264"/>
      <c r="Z28" s="263"/>
      <c r="AA28" s="263"/>
      <c r="AB28" s="264"/>
      <c r="AC28" s="264"/>
      <c r="AD28" s="263"/>
      <c r="AE28" s="263"/>
      <c r="AF28" s="264"/>
      <c r="AG28" s="264"/>
      <c r="AH28" s="263"/>
      <c r="AI28" s="263"/>
      <c r="AJ28" s="264"/>
      <c r="AK28" s="264"/>
      <c r="AL28" s="263"/>
      <c r="AM28" s="263"/>
      <c r="AN28" s="264"/>
      <c r="AO28" s="266"/>
      <c r="AP28" s="267"/>
      <c r="AQ28" s="267"/>
      <c r="AR28" s="268" t="s">
        <v>230</v>
      </c>
      <c r="AS28" s="269">
        <v>44170</v>
      </c>
      <c r="AT28" s="275" t="s">
        <v>342</v>
      </c>
      <c r="AU28" s="276"/>
    </row>
    <row r="29" spans="1:55" ht="39.75" customHeight="1" x14ac:dyDescent="0.25">
      <c r="A29" s="109">
        <f t="shared" si="1"/>
        <v>17</v>
      </c>
      <c r="B29" s="110" t="e">
        <f>#REF!</f>
        <v>#REF!</v>
      </c>
      <c r="C29" s="111" t="e">
        <f>#REF!</f>
        <v>#REF!</v>
      </c>
      <c r="D29" s="112" t="e">
        <f>#REF!</f>
        <v>#REF!</v>
      </c>
      <c r="E29" s="273" t="s">
        <v>348</v>
      </c>
      <c r="F29" s="274" t="s">
        <v>12</v>
      </c>
      <c r="G29" s="113" t="e">
        <f>#REF!</f>
        <v>#REF!</v>
      </c>
      <c r="H29" s="263" t="s">
        <v>129</v>
      </c>
      <c r="I29" s="264"/>
      <c r="J29" s="263"/>
      <c r="K29" s="264"/>
      <c r="L29" s="263"/>
      <c r="M29" s="265"/>
      <c r="N29" s="263"/>
      <c r="O29" s="263"/>
      <c r="P29" s="264"/>
      <c r="Q29" s="264"/>
      <c r="R29" s="263"/>
      <c r="S29" s="263"/>
      <c r="T29" s="264"/>
      <c r="U29" s="264"/>
      <c r="V29" s="263"/>
      <c r="W29" s="263"/>
      <c r="X29" s="264"/>
      <c r="Y29" s="264"/>
      <c r="Z29" s="263"/>
      <c r="AA29" s="263"/>
      <c r="AB29" s="264"/>
      <c r="AC29" s="264"/>
      <c r="AD29" s="263"/>
      <c r="AE29" s="263"/>
      <c r="AF29" s="264"/>
      <c r="AG29" s="264"/>
      <c r="AH29" s="263"/>
      <c r="AI29" s="263"/>
      <c r="AJ29" s="264"/>
      <c r="AK29" s="264"/>
      <c r="AL29" s="263"/>
      <c r="AM29" s="263"/>
      <c r="AN29" s="264"/>
      <c r="AO29" s="266"/>
      <c r="AP29" s="267"/>
      <c r="AQ29" s="267"/>
      <c r="AR29" s="268" t="s">
        <v>129</v>
      </c>
      <c r="AS29" s="269">
        <v>44201</v>
      </c>
      <c r="AT29" s="275" t="s">
        <v>344</v>
      </c>
      <c r="AU29" s="276"/>
    </row>
    <row r="30" spans="1:55" ht="39.75" customHeight="1" x14ac:dyDescent="0.25">
      <c r="A30" s="109">
        <f t="shared" si="1"/>
        <v>18</v>
      </c>
      <c r="B30" s="110" t="e">
        <f>#REF!</f>
        <v>#REF!</v>
      </c>
      <c r="C30" s="111" t="e">
        <f>#REF!</f>
        <v>#REF!</v>
      </c>
      <c r="D30" s="112" t="e">
        <f>#REF!</f>
        <v>#REF!</v>
      </c>
      <c r="E30" s="273" t="s">
        <v>349</v>
      </c>
      <c r="F30" s="274" t="s">
        <v>12</v>
      </c>
      <c r="G30" s="113" t="e">
        <f>#REF!</f>
        <v>#REF!</v>
      </c>
      <c r="H30" s="263" t="s">
        <v>230</v>
      </c>
      <c r="I30" s="264"/>
      <c r="J30" s="263"/>
      <c r="K30" s="264"/>
      <c r="L30" s="263"/>
      <c r="M30" s="265"/>
      <c r="N30" s="263"/>
      <c r="O30" s="263"/>
      <c r="P30" s="264"/>
      <c r="Q30" s="264"/>
      <c r="R30" s="263"/>
      <c r="S30" s="263"/>
      <c r="T30" s="264"/>
      <c r="U30" s="264"/>
      <c r="V30" s="263"/>
      <c r="W30" s="263"/>
      <c r="X30" s="264"/>
      <c r="Y30" s="264"/>
      <c r="Z30" s="263"/>
      <c r="AA30" s="263"/>
      <c r="AB30" s="264"/>
      <c r="AC30" s="264"/>
      <c r="AD30" s="263"/>
      <c r="AE30" s="263"/>
      <c r="AF30" s="264"/>
      <c r="AG30" s="264"/>
      <c r="AH30" s="263"/>
      <c r="AI30" s="263"/>
      <c r="AJ30" s="264"/>
      <c r="AK30" s="264"/>
      <c r="AL30" s="263"/>
      <c r="AM30" s="263"/>
      <c r="AN30" s="264"/>
      <c r="AO30" s="266"/>
      <c r="AP30" s="267"/>
      <c r="AQ30" s="267"/>
      <c r="AR30" s="268" t="s">
        <v>230</v>
      </c>
      <c r="AS30" s="269">
        <v>44230</v>
      </c>
      <c r="AT30" s="275" t="s">
        <v>346</v>
      </c>
      <c r="AU30" s="276"/>
    </row>
    <row r="31" spans="1:55" ht="39.75" customHeight="1" x14ac:dyDescent="0.25">
      <c r="A31" s="109">
        <f t="shared" si="1"/>
        <v>19</v>
      </c>
      <c r="B31" s="110" t="e">
        <f>#REF!</f>
        <v>#REF!</v>
      </c>
      <c r="C31" s="111" t="e">
        <f>#REF!</f>
        <v>#REF!</v>
      </c>
      <c r="D31" s="112" t="e">
        <f>#REF!</f>
        <v>#REF!</v>
      </c>
      <c r="E31" s="273" t="s">
        <v>350</v>
      </c>
      <c r="F31" s="274" t="s">
        <v>12</v>
      </c>
      <c r="G31" s="113" t="e">
        <f>#REF!</f>
        <v>#REF!</v>
      </c>
      <c r="H31" s="263" t="s">
        <v>129</v>
      </c>
      <c r="I31" s="264"/>
      <c r="J31" s="263"/>
      <c r="K31" s="264"/>
      <c r="L31" s="263"/>
      <c r="M31" s="265"/>
      <c r="N31" s="263"/>
      <c r="O31" s="263"/>
      <c r="P31" s="264"/>
      <c r="Q31" s="264"/>
      <c r="R31" s="263"/>
      <c r="S31" s="263"/>
      <c r="T31" s="264"/>
      <c r="U31" s="264"/>
      <c r="V31" s="263"/>
      <c r="W31" s="263"/>
      <c r="X31" s="264"/>
      <c r="Y31" s="264"/>
      <c r="Z31" s="263"/>
      <c r="AA31" s="263"/>
      <c r="AB31" s="264"/>
      <c r="AC31" s="264"/>
      <c r="AD31" s="263"/>
      <c r="AE31" s="263"/>
      <c r="AF31" s="264"/>
      <c r="AG31" s="264"/>
      <c r="AH31" s="263"/>
      <c r="AI31" s="263"/>
      <c r="AJ31" s="264"/>
      <c r="AK31" s="264"/>
      <c r="AL31" s="263"/>
      <c r="AM31" s="263"/>
      <c r="AN31" s="264"/>
      <c r="AO31" s="266"/>
      <c r="AP31" s="267"/>
      <c r="AQ31" s="267"/>
      <c r="AR31" s="268" t="s">
        <v>129</v>
      </c>
      <c r="AS31" s="269">
        <v>44259</v>
      </c>
      <c r="AT31" s="270" t="s">
        <v>335</v>
      </c>
      <c r="AU31" s="276"/>
    </row>
    <row r="32" spans="1:55" ht="39.75" customHeight="1" x14ac:dyDescent="0.25">
      <c r="A32" s="109">
        <f t="shared" si="1"/>
        <v>20</v>
      </c>
      <c r="B32" s="110" t="e">
        <f>#REF!</f>
        <v>#REF!</v>
      </c>
      <c r="C32" s="111" t="e">
        <f>#REF!</f>
        <v>#REF!</v>
      </c>
      <c r="D32" s="112" t="e">
        <f>#REF!</f>
        <v>#REF!</v>
      </c>
      <c r="E32" s="273" t="s">
        <v>351</v>
      </c>
      <c r="F32" s="274" t="s">
        <v>12</v>
      </c>
      <c r="G32" s="113" t="e">
        <f>#REF!</f>
        <v>#REF!</v>
      </c>
      <c r="H32" s="263" t="s">
        <v>230</v>
      </c>
      <c r="I32" s="264"/>
      <c r="J32" s="263"/>
      <c r="K32" s="264"/>
      <c r="L32" s="263"/>
      <c r="M32" s="265"/>
      <c r="N32" s="263"/>
      <c r="O32" s="263"/>
      <c r="P32" s="264"/>
      <c r="Q32" s="264"/>
      <c r="R32" s="263"/>
      <c r="S32" s="263"/>
      <c r="T32" s="264"/>
      <c r="U32" s="264"/>
      <c r="V32" s="263"/>
      <c r="W32" s="263"/>
      <c r="X32" s="264"/>
      <c r="Y32" s="264"/>
      <c r="Z32" s="263"/>
      <c r="AA32" s="263"/>
      <c r="AB32" s="264"/>
      <c r="AC32" s="264"/>
      <c r="AD32" s="263"/>
      <c r="AE32" s="263"/>
      <c r="AF32" s="264"/>
      <c r="AG32" s="264"/>
      <c r="AH32" s="263"/>
      <c r="AI32" s="263"/>
      <c r="AJ32" s="264"/>
      <c r="AK32" s="264"/>
      <c r="AL32" s="263"/>
      <c r="AM32" s="263"/>
      <c r="AN32" s="264"/>
      <c r="AO32" s="266"/>
      <c r="AP32" s="267"/>
      <c r="AQ32" s="267"/>
      <c r="AR32" s="268" t="s">
        <v>230</v>
      </c>
      <c r="AS32" s="269">
        <v>44291</v>
      </c>
      <c r="AT32" s="275" t="s">
        <v>342</v>
      </c>
      <c r="AU32" s="276"/>
    </row>
    <row r="33" spans="1:47" ht="39.75" customHeight="1" x14ac:dyDescent="0.25">
      <c r="A33" s="109">
        <f t="shared" si="1"/>
        <v>21</v>
      </c>
      <c r="B33" s="110" t="e">
        <f>#REF!</f>
        <v>#REF!</v>
      </c>
      <c r="C33" s="111" t="e">
        <f>#REF!</f>
        <v>#REF!</v>
      </c>
      <c r="D33" s="112" t="e">
        <f>#REF!</f>
        <v>#REF!</v>
      </c>
      <c r="E33" s="273" t="s">
        <v>352</v>
      </c>
      <c r="F33" s="274" t="s">
        <v>12</v>
      </c>
      <c r="G33" s="113" t="e">
        <f>#REF!</f>
        <v>#REF!</v>
      </c>
      <c r="H33" s="263" t="s">
        <v>129</v>
      </c>
      <c r="I33" s="264"/>
      <c r="J33" s="263"/>
      <c r="K33" s="264"/>
      <c r="L33" s="263"/>
      <c r="M33" s="265"/>
      <c r="N33" s="263"/>
      <c r="O33" s="263"/>
      <c r="P33" s="264"/>
      <c r="Q33" s="264"/>
      <c r="R33" s="263"/>
      <c r="S33" s="263"/>
      <c r="T33" s="264"/>
      <c r="U33" s="264"/>
      <c r="V33" s="263"/>
      <c r="W33" s="263"/>
      <c r="X33" s="264"/>
      <c r="Y33" s="264"/>
      <c r="Z33" s="263"/>
      <c r="AA33" s="263"/>
      <c r="AB33" s="264"/>
      <c r="AC33" s="264"/>
      <c r="AD33" s="263"/>
      <c r="AE33" s="263"/>
      <c r="AF33" s="264"/>
      <c r="AG33" s="264"/>
      <c r="AH33" s="263"/>
      <c r="AI33" s="263"/>
      <c r="AJ33" s="264"/>
      <c r="AK33" s="264"/>
      <c r="AL33" s="263"/>
      <c r="AM33" s="263"/>
      <c r="AN33" s="264"/>
      <c r="AO33" s="266"/>
      <c r="AP33" s="267"/>
      <c r="AQ33" s="267"/>
      <c r="AR33" s="268" t="s">
        <v>129</v>
      </c>
      <c r="AS33" s="269">
        <v>44319</v>
      </c>
      <c r="AT33" s="270" t="s">
        <v>335</v>
      </c>
      <c r="AU33" s="276"/>
    </row>
    <row r="34" spans="1:47" ht="39.75" customHeight="1" x14ac:dyDescent="0.25">
      <c r="A34" s="109">
        <f t="shared" si="1"/>
        <v>22</v>
      </c>
      <c r="B34" s="110" t="e">
        <f>#REF!</f>
        <v>#REF!</v>
      </c>
      <c r="C34" s="111" t="e">
        <f>#REF!</f>
        <v>#REF!</v>
      </c>
      <c r="D34" s="112" t="e">
        <f>#REF!</f>
        <v>#REF!</v>
      </c>
      <c r="E34" s="273" t="s">
        <v>353</v>
      </c>
      <c r="F34" s="274" t="s">
        <v>12</v>
      </c>
      <c r="G34" s="113" t="e">
        <f>#REF!</f>
        <v>#REF!</v>
      </c>
      <c r="H34" s="263" t="s">
        <v>230</v>
      </c>
      <c r="I34" s="264"/>
      <c r="J34" s="263"/>
      <c r="K34" s="264"/>
      <c r="L34" s="263"/>
      <c r="M34" s="265"/>
      <c r="N34" s="263"/>
      <c r="O34" s="263"/>
      <c r="P34" s="264"/>
      <c r="Q34" s="264"/>
      <c r="R34" s="263"/>
      <c r="S34" s="263"/>
      <c r="T34" s="264"/>
      <c r="U34" s="264"/>
      <c r="V34" s="263"/>
      <c r="W34" s="263"/>
      <c r="X34" s="264"/>
      <c r="Y34" s="264"/>
      <c r="Z34" s="263"/>
      <c r="AA34" s="263"/>
      <c r="AB34" s="264"/>
      <c r="AC34" s="264"/>
      <c r="AD34" s="263"/>
      <c r="AE34" s="263"/>
      <c r="AF34" s="264"/>
      <c r="AG34" s="264"/>
      <c r="AH34" s="263"/>
      <c r="AI34" s="263"/>
      <c r="AJ34" s="264"/>
      <c r="AK34" s="264"/>
      <c r="AL34" s="263"/>
      <c r="AM34" s="263"/>
      <c r="AN34" s="264"/>
      <c r="AO34" s="266"/>
      <c r="AP34" s="267"/>
      <c r="AQ34" s="267"/>
      <c r="AR34" s="268" t="s">
        <v>230</v>
      </c>
      <c r="AS34" s="269">
        <v>44351</v>
      </c>
      <c r="AT34" s="275" t="s">
        <v>342</v>
      </c>
      <c r="AU34" s="276"/>
    </row>
    <row r="35" spans="1:47" ht="39.75" customHeight="1" x14ac:dyDescent="0.25">
      <c r="A35" s="109">
        <f t="shared" si="1"/>
        <v>23</v>
      </c>
      <c r="B35" s="110" t="e">
        <f>#REF!</f>
        <v>#REF!</v>
      </c>
      <c r="C35" s="111" t="e">
        <f>#REF!</f>
        <v>#REF!</v>
      </c>
      <c r="D35" s="112" t="e">
        <f>#REF!</f>
        <v>#REF!</v>
      </c>
      <c r="E35" s="261" t="s">
        <v>334</v>
      </c>
      <c r="F35" s="274" t="s">
        <v>12</v>
      </c>
      <c r="G35" s="113" t="e">
        <f>#REF!</f>
        <v>#REF!</v>
      </c>
      <c r="H35" s="263" t="s">
        <v>129</v>
      </c>
      <c r="I35" s="264"/>
      <c r="J35" s="263"/>
      <c r="K35" s="264"/>
      <c r="L35" s="263"/>
      <c r="M35" s="265"/>
      <c r="N35" s="263"/>
      <c r="O35" s="263"/>
      <c r="P35" s="264"/>
      <c r="Q35" s="264"/>
      <c r="R35" s="263"/>
      <c r="S35" s="263"/>
      <c r="T35" s="264"/>
      <c r="U35" s="264"/>
      <c r="V35" s="263"/>
      <c r="W35" s="263"/>
      <c r="X35" s="264"/>
      <c r="Y35" s="264"/>
      <c r="Z35" s="263"/>
      <c r="AA35" s="263"/>
      <c r="AB35" s="264"/>
      <c r="AC35" s="264"/>
      <c r="AD35" s="263"/>
      <c r="AE35" s="263"/>
      <c r="AF35" s="264"/>
      <c r="AG35" s="264"/>
      <c r="AH35" s="263"/>
      <c r="AI35" s="263"/>
      <c r="AJ35" s="264"/>
      <c r="AK35" s="264"/>
      <c r="AL35" s="263"/>
      <c r="AM35" s="263"/>
      <c r="AN35" s="264"/>
      <c r="AO35" s="266"/>
      <c r="AP35" s="267"/>
      <c r="AQ35" s="267"/>
      <c r="AR35" s="268" t="s">
        <v>129</v>
      </c>
      <c r="AS35" s="269">
        <v>44379</v>
      </c>
      <c r="AT35" s="275" t="s">
        <v>344</v>
      </c>
      <c r="AU35" s="276"/>
    </row>
    <row r="36" spans="1:47" ht="39.75" customHeight="1" x14ac:dyDescent="0.25">
      <c r="A36" s="109">
        <f t="shared" si="1"/>
        <v>24</v>
      </c>
      <c r="B36" s="110" t="e">
        <f>#REF!</f>
        <v>#REF!</v>
      </c>
      <c r="C36" s="111" t="e">
        <f>#REF!</f>
        <v>#REF!</v>
      </c>
      <c r="D36" s="112" t="e">
        <f>#REF!</f>
        <v>#REF!</v>
      </c>
      <c r="E36" s="273" t="s">
        <v>341</v>
      </c>
      <c r="F36" s="274" t="s">
        <v>12</v>
      </c>
      <c r="G36" s="113" t="e">
        <f>#REF!</f>
        <v>#REF!</v>
      </c>
      <c r="H36" s="263" t="s">
        <v>230</v>
      </c>
      <c r="I36" s="264"/>
      <c r="J36" s="263"/>
      <c r="K36" s="264"/>
      <c r="L36" s="263"/>
      <c r="M36" s="265"/>
      <c r="N36" s="263"/>
      <c r="O36" s="263"/>
      <c r="P36" s="264"/>
      <c r="Q36" s="264"/>
      <c r="R36" s="263"/>
      <c r="S36" s="263"/>
      <c r="T36" s="264"/>
      <c r="U36" s="264"/>
      <c r="V36" s="263"/>
      <c r="W36" s="263"/>
      <c r="X36" s="264"/>
      <c r="Y36" s="264"/>
      <c r="Z36" s="263"/>
      <c r="AA36" s="263"/>
      <c r="AB36" s="264"/>
      <c r="AC36" s="264"/>
      <c r="AD36" s="263"/>
      <c r="AE36" s="263"/>
      <c r="AF36" s="264"/>
      <c r="AG36" s="264"/>
      <c r="AH36" s="263"/>
      <c r="AI36" s="263"/>
      <c r="AJ36" s="264"/>
      <c r="AK36" s="264"/>
      <c r="AL36" s="263"/>
      <c r="AM36" s="263"/>
      <c r="AN36" s="264"/>
      <c r="AO36" s="266"/>
      <c r="AP36" s="267"/>
      <c r="AQ36" s="267"/>
      <c r="AR36" s="268" t="s">
        <v>230</v>
      </c>
      <c r="AS36" s="269">
        <v>44412</v>
      </c>
      <c r="AT36" s="275" t="s">
        <v>346</v>
      </c>
      <c r="AU36" s="276"/>
    </row>
    <row r="37" spans="1:47" ht="39.75" customHeight="1" x14ac:dyDescent="0.25">
      <c r="A37" s="109">
        <f t="shared" si="1"/>
        <v>25</v>
      </c>
      <c r="B37" s="110" t="e">
        <f>#REF!</f>
        <v>#REF!</v>
      </c>
      <c r="C37" s="111" t="e">
        <f>#REF!</f>
        <v>#REF!</v>
      </c>
      <c r="D37" s="112" t="e">
        <f>#REF!</f>
        <v>#REF!</v>
      </c>
      <c r="E37" s="273" t="s">
        <v>343</v>
      </c>
      <c r="F37" s="274" t="s">
        <v>12</v>
      </c>
      <c r="G37" s="113" t="e">
        <f>#REF!</f>
        <v>#REF!</v>
      </c>
      <c r="H37" s="263" t="s">
        <v>129</v>
      </c>
      <c r="I37" s="264"/>
      <c r="J37" s="263"/>
      <c r="K37" s="264"/>
      <c r="L37" s="263"/>
      <c r="M37" s="265"/>
      <c r="N37" s="263"/>
      <c r="O37" s="263"/>
      <c r="P37" s="264"/>
      <c r="Q37" s="264"/>
      <c r="R37" s="263"/>
      <c r="S37" s="263"/>
      <c r="T37" s="264"/>
      <c r="U37" s="264"/>
      <c r="V37" s="263"/>
      <c r="W37" s="263"/>
      <c r="X37" s="264"/>
      <c r="Y37" s="264"/>
      <c r="Z37" s="263"/>
      <c r="AA37" s="263"/>
      <c r="AB37" s="264"/>
      <c r="AC37" s="264"/>
      <c r="AD37" s="263"/>
      <c r="AE37" s="263"/>
      <c r="AF37" s="264"/>
      <c r="AG37" s="264"/>
      <c r="AH37" s="263"/>
      <c r="AI37" s="263"/>
      <c r="AJ37" s="264"/>
      <c r="AK37" s="264"/>
      <c r="AL37" s="263"/>
      <c r="AM37" s="263"/>
      <c r="AN37" s="264"/>
      <c r="AO37" s="266"/>
      <c r="AP37" s="267"/>
      <c r="AQ37" s="267"/>
      <c r="AR37" s="268" t="s">
        <v>129</v>
      </c>
      <c r="AS37" s="269">
        <v>44077</v>
      </c>
      <c r="AT37" s="270" t="s">
        <v>335</v>
      </c>
      <c r="AU37" s="276"/>
    </row>
    <row r="38" spans="1:47" ht="39.75" customHeight="1" x14ac:dyDescent="0.25">
      <c r="A38" s="109">
        <f t="shared" si="1"/>
        <v>26</v>
      </c>
      <c r="B38" s="110" t="e">
        <f>#REF!</f>
        <v>#REF!</v>
      </c>
      <c r="C38" s="111" t="e">
        <f>#REF!</f>
        <v>#REF!</v>
      </c>
      <c r="D38" s="112" t="e">
        <f>#REF!</f>
        <v>#REF!</v>
      </c>
      <c r="E38" s="273" t="s">
        <v>345</v>
      </c>
      <c r="F38" s="274" t="s">
        <v>12</v>
      </c>
      <c r="G38" s="113" t="e">
        <f>#REF!</f>
        <v>#REF!</v>
      </c>
      <c r="H38" s="263" t="s">
        <v>230</v>
      </c>
      <c r="I38" s="264"/>
      <c r="J38" s="263"/>
      <c r="K38" s="264"/>
      <c r="L38" s="263"/>
      <c r="M38" s="265"/>
      <c r="N38" s="263"/>
      <c r="O38" s="263"/>
      <c r="P38" s="264"/>
      <c r="Q38" s="264"/>
      <c r="R38" s="263"/>
      <c r="S38" s="263"/>
      <c r="T38" s="264"/>
      <c r="U38" s="264"/>
      <c r="V38" s="263"/>
      <c r="W38" s="263"/>
      <c r="X38" s="264"/>
      <c r="Y38" s="264"/>
      <c r="Z38" s="263"/>
      <c r="AA38" s="263"/>
      <c r="AB38" s="264"/>
      <c r="AC38" s="264"/>
      <c r="AD38" s="263"/>
      <c r="AE38" s="263"/>
      <c r="AF38" s="264"/>
      <c r="AG38" s="264"/>
      <c r="AH38" s="263"/>
      <c r="AI38" s="263"/>
      <c r="AJ38" s="264"/>
      <c r="AK38" s="264"/>
      <c r="AL38" s="263"/>
      <c r="AM38" s="263"/>
      <c r="AN38" s="264"/>
      <c r="AO38" s="266"/>
      <c r="AP38" s="267"/>
      <c r="AQ38" s="267"/>
      <c r="AR38" s="268" t="s">
        <v>230</v>
      </c>
      <c r="AS38" s="269">
        <v>44107</v>
      </c>
      <c r="AT38" s="275" t="s">
        <v>342</v>
      </c>
      <c r="AU38" s="276"/>
    </row>
    <row r="39" spans="1:47" ht="39.75" customHeight="1" x14ac:dyDescent="0.25">
      <c r="A39" s="109">
        <f t="shared" si="1"/>
        <v>27</v>
      </c>
      <c r="B39" s="110" t="e">
        <f>#REF!</f>
        <v>#REF!</v>
      </c>
      <c r="C39" s="111" t="e">
        <f>#REF!</f>
        <v>#REF!</v>
      </c>
      <c r="D39" s="112" t="e">
        <f>#REF!</f>
        <v>#REF!</v>
      </c>
      <c r="E39" s="273" t="s">
        <v>347</v>
      </c>
      <c r="F39" s="274" t="s">
        <v>12</v>
      </c>
      <c r="G39" s="113" t="e">
        <f>#REF!</f>
        <v>#REF!</v>
      </c>
      <c r="H39" s="263" t="s">
        <v>129</v>
      </c>
      <c r="I39" s="264"/>
      <c r="J39" s="263"/>
      <c r="K39" s="264"/>
      <c r="L39" s="263"/>
      <c r="M39" s="265"/>
      <c r="N39" s="263"/>
      <c r="O39" s="263"/>
      <c r="P39" s="264"/>
      <c r="Q39" s="264"/>
      <c r="R39" s="263"/>
      <c r="S39" s="263"/>
      <c r="T39" s="264"/>
      <c r="U39" s="264"/>
      <c r="V39" s="263"/>
      <c r="W39" s="263"/>
      <c r="X39" s="264"/>
      <c r="Y39" s="264"/>
      <c r="Z39" s="263"/>
      <c r="AA39" s="263"/>
      <c r="AB39" s="264"/>
      <c r="AC39" s="264"/>
      <c r="AD39" s="263"/>
      <c r="AE39" s="263"/>
      <c r="AF39" s="264"/>
      <c r="AG39" s="264"/>
      <c r="AH39" s="263"/>
      <c r="AI39" s="263"/>
      <c r="AJ39" s="264"/>
      <c r="AK39" s="264"/>
      <c r="AL39" s="263"/>
      <c r="AM39" s="263"/>
      <c r="AN39" s="264"/>
      <c r="AO39" s="266"/>
      <c r="AP39" s="267"/>
      <c r="AQ39" s="267"/>
      <c r="AR39" s="268" t="s">
        <v>129</v>
      </c>
      <c r="AS39" s="269">
        <v>44137</v>
      </c>
      <c r="AT39" s="275" t="s">
        <v>344</v>
      </c>
      <c r="AU39" s="276"/>
    </row>
    <row r="40" spans="1:47" ht="39.75" customHeight="1" x14ac:dyDescent="0.25">
      <c r="A40" s="109">
        <f t="shared" si="1"/>
        <v>28</v>
      </c>
      <c r="B40" s="110" t="e">
        <f>#REF!</f>
        <v>#REF!</v>
      </c>
      <c r="C40" s="111" t="e">
        <f>#REF!</f>
        <v>#REF!</v>
      </c>
      <c r="D40" s="112" t="e">
        <f>#REF!</f>
        <v>#REF!</v>
      </c>
      <c r="E40" s="273" t="s">
        <v>348</v>
      </c>
      <c r="F40" s="274" t="s">
        <v>12</v>
      </c>
      <c r="G40" s="113" t="e">
        <f>#REF!</f>
        <v>#REF!</v>
      </c>
      <c r="H40" s="263" t="s">
        <v>230</v>
      </c>
      <c r="I40" s="264"/>
      <c r="J40" s="263"/>
      <c r="K40" s="264"/>
      <c r="L40" s="263"/>
      <c r="M40" s="265"/>
      <c r="N40" s="263"/>
      <c r="O40" s="263"/>
      <c r="P40" s="264"/>
      <c r="Q40" s="264"/>
      <c r="R40" s="263"/>
      <c r="S40" s="263"/>
      <c r="T40" s="264"/>
      <c r="U40" s="264"/>
      <c r="V40" s="263"/>
      <c r="W40" s="263"/>
      <c r="X40" s="264"/>
      <c r="Y40" s="264"/>
      <c r="Z40" s="263"/>
      <c r="AA40" s="263"/>
      <c r="AB40" s="264"/>
      <c r="AC40" s="264"/>
      <c r="AD40" s="263"/>
      <c r="AE40" s="263"/>
      <c r="AF40" s="264"/>
      <c r="AG40" s="264"/>
      <c r="AH40" s="263"/>
      <c r="AI40" s="263"/>
      <c r="AJ40" s="264"/>
      <c r="AK40" s="264"/>
      <c r="AL40" s="263"/>
      <c r="AM40" s="263"/>
      <c r="AN40" s="264"/>
      <c r="AO40" s="266"/>
      <c r="AP40" s="267"/>
      <c r="AQ40" s="267"/>
      <c r="AR40" s="268" t="s">
        <v>230</v>
      </c>
      <c r="AS40" s="269">
        <v>44170</v>
      </c>
      <c r="AT40" s="275" t="s">
        <v>346</v>
      </c>
      <c r="AU40" s="276"/>
    </row>
    <row r="41" spans="1:47" ht="39.75" customHeight="1" x14ac:dyDescent="0.25">
      <c r="A41" s="109">
        <f t="shared" si="1"/>
        <v>29</v>
      </c>
      <c r="B41" s="110" t="e">
        <f>#REF!</f>
        <v>#REF!</v>
      </c>
      <c r="C41" s="111" t="e">
        <f>#REF!</f>
        <v>#REF!</v>
      </c>
      <c r="D41" s="112" t="e">
        <f>#REF!</f>
        <v>#REF!</v>
      </c>
      <c r="E41" s="273" t="s">
        <v>349</v>
      </c>
      <c r="F41" s="274" t="s">
        <v>12</v>
      </c>
      <c r="G41" s="113" t="e">
        <f>#REF!</f>
        <v>#REF!</v>
      </c>
      <c r="H41" s="263" t="s">
        <v>129</v>
      </c>
      <c r="I41" s="264"/>
      <c r="J41" s="263"/>
      <c r="K41" s="264"/>
      <c r="L41" s="263"/>
      <c r="M41" s="265"/>
      <c r="N41" s="263"/>
      <c r="O41" s="263"/>
      <c r="P41" s="264"/>
      <c r="Q41" s="264"/>
      <c r="R41" s="263"/>
      <c r="S41" s="263"/>
      <c r="T41" s="264"/>
      <c r="U41" s="264"/>
      <c r="V41" s="263"/>
      <c r="W41" s="263"/>
      <c r="X41" s="264"/>
      <c r="Y41" s="264"/>
      <c r="Z41" s="263"/>
      <c r="AA41" s="263"/>
      <c r="AB41" s="264"/>
      <c r="AC41" s="264"/>
      <c r="AD41" s="263"/>
      <c r="AE41" s="263"/>
      <c r="AF41" s="264"/>
      <c r="AG41" s="264"/>
      <c r="AH41" s="263"/>
      <c r="AI41" s="263"/>
      <c r="AJ41" s="264"/>
      <c r="AK41" s="264"/>
      <c r="AL41" s="263"/>
      <c r="AM41" s="263"/>
      <c r="AN41" s="264"/>
      <c r="AO41" s="266"/>
      <c r="AP41" s="267"/>
      <c r="AQ41" s="267"/>
      <c r="AR41" s="268" t="s">
        <v>129</v>
      </c>
      <c r="AS41" s="269">
        <v>44201</v>
      </c>
      <c r="AT41" s="270" t="s">
        <v>335</v>
      </c>
      <c r="AU41" s="276"/>
    </row>
    <row r="42" spans="1:47" ht="39.75" customHeight="1" x14ac:dyDescent="0.25">
      <c r="A42" s="109">
        <f t="shared" si="1"/>
        <v>30</v>
      </c>
      <c r="B42" s="110" t="e">
        <f>#REF!</f>
        <v>#REF!</v>
      </c>
      <c r="C42" s="111" t="e">
        <f>#REF!</f>
        <v>#REF!</v>
      </c>
      <c r="D42" s="112" t="e">
        <f>#REF!</f>
        <v>#REF!</v>
      </c>
      <c r="E42" s="273" t="s">
        <v>350</v>
      </c>
      <c r="F42" s="274" t="s">
        <v>12</v>
      </c>
      <c r="G42" s="113" t="e">
        <f>#REF!</f>
        <v>#REF!</v>
      </c>
      <c r="H42" s="263" t="s">
        <v>230</v>
      </c>
      <c r="I42" s="264"/>
      <c r="J42" s="263"/>
      <c r="K42" s="264"/>
      <c r="L42" s="263"/>
      <c r="M42" s="265"/>
      <c r="N42" s="263"/>
      <c r="O42" s="263"/>
      <c r="P42" s="264"/>
      <c r="Q42" s="264"/>
      <c r="R42" s="263"/>
      <c r="S42" s="263"/>
      <c r="T42" s="264"/>
      <c r="U42" s="264"/>
      <c r="V42" s="263"/>
      <c r="W42" s="263"/>
      <c r="X42" s="264"/>
      <c r="Y42" s="264"/>
      <c r="Z42" s="263"/>
      <c r="AA42" s="263"/>
      <c r="AB42" s="264"/>
      <c r="AC42" s="264"/>
      <c r="AD42" s="263"/>
      <c r="AE42" s="263"/>
      <c r="AF42" s="264"/>
      <c r="AG42" s="264"/>
      <c r="AH42" s="263"/>
      <c r="AI42" s="263"/>
      <c r="AJ42" s="264"/>
      <c r="AK42" s="264"/>
      <c r="AL42" s="263"/>
      <c r="AM42" s="263"/>
      <c r="AN42" s="264"/>
      <c r="AO42" s="266"/>
      <c r="AP42" s="267"/>
      <c r="AQ42" s="267"/>
      <c r="AR42" s="268" t="s">
        <v>230</v>
      </c>
      <c r="AS42" s="269">
        <v>44230</v>
      </c>
      <c r="AT42" s="275" t="s">
        <v>342</v>
      </c>
      <c r="AU42" s="276"/>
    </row>
    <row r="43" spans="1:47" ht="39.75" customHeight="1" x14ac:dyDescent="0.25">
      <c r="A43" s="109">
        <f t="shared" si="1"/>
        <v>31</v>
      </c>
      <c r="B43" s="110" t="e">
        <f>#REF!</f>
        <v>#REF!</v>
      </c>
      <c r="C43" s="111" t="e">
        <f>#REF!</f>
        <v>#REF!</v>
      </c>
      <c r="D43" s="112" t="e">
        <f>#REF!</f>
        <v>#REF!</v>
      </c>
      <c r="E43" s="273" t="s">
        <v>351</v>
      </c>
      <c r="F43" s="274" t="s">
        <v>12</v>
      </c>
      <c r="G43" s="113" t="e">
        <f>#REF!</f>
        <v>#REF!</v>
      </c>
      <c r="H43" s="263" t="s">
        <v>129</v>
      </c>
      <c r="I43" s="264"/>
      <c r="J43" s="263"/>
      <c r="K43" s="264"/>
      <c r="L43" s="263"/>
      <c r="M43" s="265"/>
      <c r="N43" s="263"/>
      <c r="O43" s="263"/>
      <c r="P43" s="264"/>
      <c r="Q43" s="264"/>
      <c r="R43" s="263"/>
      <c r="S43" s="263"/>
      <c r="T43" s="264"/>
      <c r="U43" s="264"/>
      <c r="V43" s="263"/>
      <c r="W43" s="263"/>
      <c r="X43" s="264"/>
      <c r="Y43" s="264"/>
      <c r="Z43" s="263"/>
      <c r="AA43" s="263"/>
      <c r="AB43" s="264"/>
      <c r="AC43" s="264"/>
      <c r="AD43" s="263"/>
      <c r="AE43" s="263"/>
      <c r="AF43" s="264"/>
      <c r="AG43" s="264"/>
      <c r="AH43" s="263"/>
      <c r="AI43" s="263"/>
      <c r="AJ43" s="264"/>
      <c r="AK43" s="264"/>
      <c r="AL43" s="263"/>
      <c r="AM43" s="263"/>
      <c r="AN43" s="264"/>
      <c r="AO43" s="266"/>
      <c r="AP43" s="267"/>
      <c r="AQ43" s="267"/>
      <c r="AR43" s="268" t="s">
        <v>129</v>
      </c>
      <c r="AS43" s="269">
        <v>44259</v>
      </c>
      <c r="AT43" s="270" t="s">
        <v>335</v>
      </c>
      <c r="AU43" s="276"/>
    </row>
    <row r="44" spans="1:47" ht="39.75" customHeight="1" x14ac:dyDescent="0.25">
      <c r="A44" s="109">
        <f t="shared" si="1"/>
        <v>32</v>
      </c>
      <c r="B44" s="110" t="e">
        <f>#REF!</f>
        <v>#REF!</v>
      </c>
      <c r="C44" s="111" t="e">
        <f>#REF!</f>
        <v>#REF!</v>
      </c>
      <c r="D44" s="112" t="e">
        <f>#REF!</f>
        <v>#REF!</v>
      </c>
      <c r="E44" s="273" t="s">
        <v>352</v>
      </c>
      <c r="F44" s="274" t="s">
        <v>12</v>
      </c>
      <c r="G44" s="113" t="e">
        <f>#REF!</f>
        <v>#REF!</v>
      </c>
      <c r="H44" s="263" t="s">
        <v>230</v>
      </c>
      <c r="I44" s="264"/>
      <c r="J44" s="263"/>
      <c r="K44" s="264"/>
      <c r="L44" s="263"/>
      <c r="M44" s="265"/>
      <c r="N44" s="263"/>
      <c r="O44" s="263"/>
      <c r="P44" s="264"/>
      <c r="Q44" s="264"/>
      <c r="R44" s="263"/>
      <c r="S44" s="263"/>
      <c r="T44" s="264"/>
      <c r="U44" s="264"/>
      <c r="V44" s="263"/>
      <c r="W44" s="263"/>
      <c r="X44" s="264"/>
      <c r="Y44" s="264"/>
      <c r="Z44" s="263"/>
      <c r="AA44" s="263"/>
      <c r="AB44" s="264"/>
      <c r="AC44" s="264"/>
      <c r="AD44" s="263"/>
      <c r="AE44" s="263"/>
      <c r="AF44" s="264"/>
      <c r="AG44" s="264"/>
      <c r="AH44" s="263"/>
      <c r="AI44" s="263"/>
      <c r="AJ44" s="264"/>
      <c r="AK44" s="264"/>
      <c r="AL44" s="263"/>
      <c r="AM44" s="263"/>
      <c r="AN44" s="264"/>
      <c r="AO44" s="266"/>
      <c r="AP44" s="267"/>
      <c r="AQ44" s="267"/>
      <c r="AR44" s="268" t="s">
        <v>230</v>
      </c>
      <c r="AS44" s="269">
        <v>44291</v>
      </c>
      <c r="AT44" s="275" t="s">
        <v>342</v>
      </c>
      <c r="AU44" s="276"/>
    </row>
    <row r="45" spans="1:47" ht="39.75" customHeight="1" x14ac:dyDescent="0.25">
      <c r="A45" s="109">
        <f t="shared" si="1"/>
        <v>33</v>
      </c>
      <c r="B45" s="110" t="e">
        <f>#REF!</f>
        <v>#REF!</v>
      </c>
      <c r="C45" s="111" t="e">
        <f>#REF!</f>
        <v>#REF!</v>
      </c>
      <c r="D45" s="112" t="e">
        <f>#REF!</f>
        <v>#REF!</v>
      </c>
      <c r="E45" s="273" t="s">
        <v>353</v>
      </c>
      <c r="F45" s="274" t="s">
        <v>12</v>
      </c>
      <c r="G45" s="113" t="e">
        <f>#REF!</f>
        <v>#REF!</v>
      </c>
      <c r="H45" s="263" t="s">
        <v>129</v>
      </c>
      <c r="I45" s="264"/>
      <c r="J45" s="263"/>
      <c r="K45" s="264"/>
      <c r="L45" s="263"/>
      <c r="M45" s="265"/>
      <c r="N45" s="263"/>
      <c r="O45" s="263"/>
      <c r="P45" s="264"/>
      <c r="Q45" s="264"/>
      <c r="R45" s="263"/>
      <c r="S45" s="263"/>
      <c r="T45" s="264"/>
      <c r="U45" s="264"/>
      <c r="V45" s="263"/>
      <c r="W45" s="263"/>
      <c r="X45" s="264"/>
      <c r="Y45" s="264"/>
      <c r="Z45" s="263"/>
      <c r="AA45" s="263"/>
      <c r="AB45" s="264"/>
      <c r="AC45" s="264"/>
      <c r="AD45" s="263"/>
      <c r="AE45" s="263"/>
      <c r="AF45" s="264"/>
      <c r="AG45" s="264"/>
      <c r="AH45" s="263"/>
      <c r="AI45" s="263"/>
      <c r="AJ45" s="264"/>
      <c r="AK45" s="264"/>
      <c r="AL45" s="263"/>
      <c r="AM45" s="263"/>
      <c r="AN45" s="264"/>
      <c r="AO45" s="266"/>
      <c r="AP45" s="267"/>
      <c r="AQ45" s="267"/>
      <c r="AR45" s="268" t="s">
        <v>129</v>
      </c>
      <c r="AS45" s="269">
        <v>44319</v>
      </c>
      <c r="AT45" s="275" t="s">
        <v>344</v>
      </c>
      <c r="AU45" s="276"/>
    </row>
    <row r="46" spans="1:47" ht="39.75" customHeight="1" x14ac:dyDescent="0.25">
      <c r="A46" s="109">
        <f t="shared" si="1"/>
        <v>34</v>
      </c>
      <c r="B46" s="110" t="e">
        <f>#REF!</f>
        <v>#REF!</v>
      </c>
      <c r="C46" s="111" t="e">
        <f>#REF!</f>
        <v>#REF!</v>
      </c>
      <c r="D46" s="112" t="e">
        <f>#REF!</f>
        <v>#REF!</v>
      </c>
      <c r="E46" s="261" t="s">
        <v>334</v>
      </c>
      <c r="F46" s="274" t="s">
        <v>12</v>
      </c>
      <c r="G46" s="113" t="e">
        <f>#REF!</f>
        <v>#REF!</v>
      </c>
      <c r="H46" s="263" t="s">
        <v>230</v>
      </c>
      <c r="I46" s="264"/>
      <c r="J46" s="263"/>
      <c r="K46" s="264"/>
      <c r="L46" s="263"/>
      <c r="M46" s="265"/>
      <c r="N46" s="263"/>
      <c r="O46" s="263"/>
      <c r="P46" s="264"/>
      <c r="Q46" s="264"/>
      <c r="R46" s="263"/>
      <c r="S46" s="263"/>
      <c r="T46" s="264"/>
      <c r="U46" s="264"/>
      <c r="V46" s="263"/>
      <c r="W46" s="263"/>
      <c r="X46" s="264"/>
      <c r="Y46" s="264"/>
      <c r="Z46" s="263"/>
      <c r="AA46" s="263"/>
      <c r="AB46" s="264"/>
      <c r="AC46" s="264"/>
      <c r="AD46" s="263"/>
      <c r="AE46" s="263"/>
      <c r="AF46" s="264"/>
      <c r="AG46" s="264"/>
      <c r="AH46" s="263"/>
      <c r="AI46" s="263"/>
      <c r="AJ46" s="264"/>
      <c r="AK46" s="264"/>
      <c r="AL46" s="263"/>
      <c r="AM46" s="263"/>
      <c r="AN46" s="264"/>
      <c r="AO46" s="266"/>
      <c r="AP46" s="267"/>
      <c r="AQ46" s="267"/>
      <c r="AR46" s="268" t="s">
        <v>230</v>
      </c>
      <c r="AS46" s="269">
        <v>44351</v>
      </c>
      <c r="AT46" s="275" t="s">
        <v>346</v>
      </c>
      <c r="AU46" s="276"/>
    </row>
    <row r="47" spans="1:47" ht="39.75" customHeight="1" x14ac:dyDescent="0.25">
      <c r="A47" s="109">
        <f t="shared" si="1"/>
        <v>35</v>
      </c>
      <c r="B47" s="110" t="e">
        <f>#REF!</f>
        <v>#REF!</v>
      </c>
      <c r="C47" s="111" t="e">
        <f>#REF!</f>
        <v>#REF!</v>
      </c>
      <c r="D47" s="112" t="e">
        <f>#REF!</f>
        <v>#REF!</v>
      </c>
      <c r="E47" s="273" t="s">
        <v>341</v>
      </c>
      <c r="F47" s="274" t="s">
        <v>12</v>
      </c>
      <c r="G47" s="113" t="e">
        <f>#REF!</f>
        <v>#REF!</v>
      </c>
      <c r="H47" s="263" t="s">
        <v>129</v>
      </c>
      <c r="I47" s="264"/>
      <c r="J47" s="263"/>
      <c r="K47" s="264"/>
      <c r="L47" s="263"/>
      <c r="M47" s="265"/>
      <c r="N47" s="263"/>
      <c r="O47" s="263"/>
      <c r="P47" s="264"/>
      <c r="Q47" s="264"/>
      <c r="R47" s="263"/>
      <c r="S47" s="263"/>
      <c r="T47" s="264"/>
      <c r="U47" s="264"/>
      <c r="V47" s="263"/>
      <c r="W47" s="263"/>
      <c r="X47" s="264"/>
      <c r="Y47" s="264"/>
      <c r="Z47" s="263"/>
      <c r="AA47" s="263"/>
      <c r="AB47" s="264"/>
      <c r="AC47" s="264"/>
      <c r="AD47" s="263"/>
      <c r="AE47" s="263"/>
      <c r="AF47" s="264"/>
      <c r="AG47" s="264"/>
      <c r="AH47" s="263"/>
      <c r="AI47" s="263"/>
      <c r="AJ47" s="264"/>
      <c r="AK47" s="264"/>
      <c r="AL47" s="263"/>
      <c r="AM47" s="263"/>
      <c r="AN47" s="264"/>
      <c r="AO47" s="266"/>
      <c r="AP47" s="267"/>
      <c r="AQ47" s="267"/>
      <c r="AR47" s="268" t="s">
        <v>129</v>
      </c>
      <c r="AS47" s="269">
        <v>44379</v>
      </c>
      <c r="AT47" s="270" t="s">
        <v>335</v>
      </c>
      <c r="AU47" s="276"/>
    </row>
    <row r="48" spans="1:47" ht="39.75" customHeight="1" x14ac:dyDescent="0.25">
      <c r="A48" s="109">
        <f t="shared" si="1"/>
        <v>36</v>
      </c>
      <c r="B48" s="110" t="e">
        <f>#REF!</f>
        <v>#REF!</v>
      </c>
      <c r="C48" s="111" t="e">
        <f>#REF!</f>
        <v>#REF!</v>
      </c>
      <c r="D48" s="112" t="e">
        <f>#REF!</f>
        <v>#REF!</v>
      </c>
      <c r="E48" s="273" t="s">
        <v>343</v>
      </c>
      <c r="F48" s="274" t="s">
        <v>12</v>
      </c>
      <c r="G48" s="113" t="e">
        <f>#REF!</f>
        <v>#REF!</v>
      </c>
      <c r="H48" s="263" t="s">
        <v>230</v>
      </c>
      <c r="I48" s="264"/>
      <c r="J48" s="263"/>
      <c r="K48" s="264"/>
      <c r="L48" s="263"/>
      <c r="M48" s="265"/>
      <c r="N48" s="263"/>
      <c r="O48" s="263"/>
      <c r="P48" s="264"/>
      <c r="Q48" s="264"/>
      <c r="R48" s="263"/>
      <c r="S48" s="263"/>
      <c r="T48" s="264"/>
      <c r="U48" s="264"/>
      <c r="V48" s="263"/>
      <c r="W48" s="263"/>
      <c r="X48" s="264"/>
      <c r="Y48" s="264"/>
      <c r="Z48" s="263"/>
      <c r="AA48" s="263"/>
      <c r="AB48" s="264"/>
      <c r="AC48" s="264"/>
      <c r="AD48" s="263"/>
      <c r="AE48" s="263"/>
      <c r="AF48" s="264"/>
      <c r="AG48" s="264"/>
      <c r="AH48" s="263"/>
      <c r="AI48" s="263"/>
      <c r="AJ48" s="264"/>
      <c r="AK48" s="264"/>
      <c r="AL48" s="263"/>
      <c r="AM48" s="263"/>
      <c r="AN48" s="264"/>
      <c r="AO48" s="266"/>
      <c r="AP48" s="267"/>
      <c r="AQ48" s="267"/>
      <c r="AR48" s="268" t="s">
        <v>230</v>
      </c>
      <c r="AS48" s="269">
        <v>44412</v>
      </c>
      <c r="AT48" s="275" t="s">
        <v>342</v>
      </c>
      <c r="AU48" s="276"/>
    </row>
    <row r="49" spans="1:47" ht="39.75" customHeight="1" x14ac:dyDescent="0.25">
      <c r="A49" s="109">
        <f t="shared" si="1"/>
        <v>37</v>
      </c>
      <c r="B49" s="110" t="e">
        <f>#REF!</f>
        <v>#REF!</v>
      </c>
      <c r="C49" s="111" t="e">
        <f>#REF!</f>
        <v>#REF!</v>
      </c>
      <c r="D49" s="112" t="e">
        <f>#REF!</f>
        <v>#REF!</v>
      </c>
      <c r="E49" s="273" t="s">
        <v>345</v>
      </c>
      <c r="F49" s="274" t="s">
        <v>12</v>
      </c>
      <c r="G49" s="113" t="e">
        <f>#REF!</f>
        <v>#REF!</v>
      </c>
      <c r="H49" s="263" t="s">
        <v>129</v>
      </c>
      <c r="I49" s="264"/>
      <c r="J49" s="263"/>
      <c r="K49" s="264"/>
      <c r="L49" s="263"/>
      <c r="M49" s="265"/>
      <c r="N49" s="263"/>
      <c r="O49" s="263"/>
      <c r="P49" s="264"/>
      <c r="Q49" s="264"/>
      <c r="R49" s="263"/>
      <c r="S49" s="263"/>
      <c r="T49" s="264"/>
      <c r="U49" s="264"/>
      <c r="V49" s="263"/>
      <c r="W49" s="263"/>
      <c r="X49" s="264"/>
      <c r="Y49" s="264"/>
      <c r="Z49" s="263"/>
      <c r="AA49" s="263"/>
      <c r="AB49" s="264"/>
      <c r="AC49" s="264"/>
      <c r="AD49" s="263"/>
      <c r="AE49" s="263"/>
      <c r="AF49" s="264"/>
      <c r="AG49" s="264"/>
      <c r="AH49" s="263"/>
      <c r="AI49" s="263"/>
      <c r="AJ49" s="264"/>
      <c r="AK49" s="264"/>
      <c r="AL49" s="263"/>
      <c r="AM49" s="263"/>
      <c r="AN49" s="264"/>
      <c r="AO49" s="266"/>
      <c r="AP49" s="267"/>
      <c r="AQ49" s="267"/>
      <c r="AR49" s="268" t="s">
        <v>129</v>
      </c>
      <c r="AS49" s="269">
        <v>44077</v>
      </c>
      <c r="AT49" s="275" t="s">
        <v>344</v>
      </c>
      <c r="AU49" s="276"/>
    </row>
    <row r="50" spans="1:47" ht="39.75" customHeight="1" x14ac:dyDescent="0.25">
      <c r="A50" s="109">
        <f t="shared" si="1"/>
        <v>38</v>
      </c>
      <c r="B50" s="110" t="e">
        <f>#REF!</f>
        <v>#REF!</v>
      </c>
      <c r="C50" s="111" t="e">
        <f>#REF!</f>
        <v>#REF!</v>
      </c>
      <c r="D50" s="112" t="e">
        <f>#REF!</f>
        <v>#REF!</v>
      </c>
      <c r="E50" s="273" t="s">
        <v>347</v>
      </c>
      <c r="F50" s="274" t="s">
        <v>12</v>
      </c>
      <c r="G50" s="113" t="e">
        <f>#REF!</f>
        <v>#REF!</v>
      </c>
      <c r="H50" s="263" t="s">
        <v>230</v>
      </c>
      <c r="I50" s="264"/>
      <c r="J50" s="263"/>
      <c r="K50" s="264"/>
      <c r="L50" s="263"/>
      <c r="M50" s="265"/>
      <c r="N50" s="263"/>
      <c r="O50" s="263"/>
      <c r="P50" s="264"/>
      <c r="Q50" s="264"/>
      <c r="R50" s="263"/>
      <c r="S50" s="263"/>
      <c r="T50" s="264"/>
      <c r="U50" s="264"/>
      <c r="V50" s="263"/>
      <c r="W50" s="263"/>
      <c r="X50" s="264"/>
      <c r="Y50" s="264"/>
      <c r="Z50" s="263"/>
      <c r="AA50" s="263"/>
      <c r="AB50" s="264"/>
      <c r="AC50" s="264"/>
      <c r="AD50" s="263"/>
      <c r="AE50" s="263"/>
      <c r="AF50" s="264"/>
      <c r="AG50" s="264"/>
      <c r="AH50" s="263"/>
      <c r="AI50" s="263"/>
      <c r="AJ50" s="264"/>
      <c r="AK50" s="264"/>
      <c r="AL50" s="263"/>
      <c r="AM50" s="263"/>
      <c r="AN50" s="264"/>
      <c r="AO50" s="266"/>
      <c r="AP50" s="267"/>
      <c r="AQ50" s="267"/>
      <c r="AR50" s="268" t="s">
        <v>230</v>
      </c>
      <c r="AS50" s="269">
        <v>44077</v>
      </c>
      <c r="AT50" s="275" t="s">
        <v>346</v>
      </c>
      <c r="AU50" s="276"/>
    </row>
    <row r="51" spans="1:47" ht="39.75" customHeight="1" x14ac:dyDescent="0.25">
      <c r="A51" s="109">
        <f t="shared" si="1"/>
        <v>39</v>
      </c>
      <c r="B51" s="110" t="e">
        <f>#REF!</f>
        <v>#REF!</v>
      </c>
      <c r="C51" s="111" t="e">
        <f>#REF!</f>
        <v>#REF!</v>
      </c>
      <c r="D51" s="112" t="e">
        <f>#REF!</f>
        <v>#REF!</v>
      </c>
      <c r="E51" s="273" t="s">
        <v>348</v>
      </c>
      <c r="F51" s="274" t="s">
        <v>12</v>
      </c>
      <c r="G51" s="113" t="e">
        <f>#REF!</f>
        <v>#REF!</v>
      </c>
      <c r="H51" s="263" t="s">
        <v>129</v>
      </c>
      <c r="I51" s="264"/>
      <c r="J51" s="263"/>
      <c r="K51" s="264"/>
      <c r="L51" s="263"/>
      <c r="M51" s="265"/>
      <c r="N51" s="263"/>
      <c r="O51" s="263"/>
      <c r="P51" s="264"/>
      <c r="Q51" s="264"/>
      <c r="R51" s="263"/>
      <c r="S51" s="263"/>
      <c r="T51" s="264"/>
      <c r="U51" s="264"/>
      <c r="V51" s="263"/>
      <c r="W51" s="263"/>
      <c r="X51" s="264"/>
      <c r="Y51" s="264"/>
      <c r="Z51" s="263"/>
      <c r="AA51" s="263"/>
      <c r="AB51" s="264"/>
      <c r="AC51" s="264"/>
      <c r="AD51" s="263"/>
      <c r="AE51" s="263"/>
      <c r="AF51" s="264"/>
      <c r="AG51" s="264"/>
      <c r="AH51" s="263"/>
      <c r="AI51" s="263"/>
      <c r="AJ51" s="264"/>
      <c r="AK51" s="264"/>
      <c r="AL51" s="263"/>
      <c r="AM51" s="263"/>
      <c r="AN51" s="264"/>
      <c r="AO51" s="266"/>
      <c r="AP51" s="267"/>
      <c r="AQ51" s="267"/>
      <c r="AR51" s="268" t="s">
        <v>129</v>
      </c>
      <c r="AS51" s="269">
        <v>44137</v>
      </c>
      <c r="AT51" s="270" t="s">
        <v>335</v>
      </c>
      <c r="AU51" s="276"/>
    </row>
    <row r="52" spans="1:47" ht="39.75" customHeight="1" x14ac:dyDescent="0.25">
      <c r="A52" s="109">
        <f t="shared" si="1"/>
        <v>40</v>
      </c>
      <c r="B52" s="110" t="e">
        <f>#REF!</f>
        <v>#REF!</v>
      </c>
      <c r="C52" s="111" t="e">
        <f>#REF!</f>
        <v>#REF!</v>
      </c>
      <c r="D52" s="112" t="e">
        <f>#REF!</f>
        <v>#REF!</v>
      </c>
      <c r="E52" s="273" t="s">
        <v>349</v>
      </c>
      <c r="F52" s="274" t="s">
        <v>12</v>
      </c>
      <c r="G52" s="113" t="e">
        <f>#REF!</f>
        <v>#REF!</v>
      </c>
      <c r="H52" s="263" t="s">
        <v>230</v>
      </c>
      <c r="I52" s="264"/>
      <c r="J52" s="263"/>
      <c r="K52" s="264"/>
      <c r="L52" s="263"/>
      <c r="M52" s="265"/>
      <c r="N52" s="263"/>
      <c r="O52" s="263"/>
      <c r="P52" s="264"/>
      <c r="Q52" s="264"/>
      <c r="R52" s="263"/>
      <c r="S52" s="263"/>
      <c r="T52" s="264"/>
      <c r="U52" s="264"/>
      <c r="V52" s="263"/>
      <c r="W52" s="263"/>
      <c r="X52" s="264"/>
      <c r="Y52" s="264"/>
      <c r="Z52" s="263"/>
      <c r="AA52" s="263"/>
      <c r="AB52" s="264"/>
      <c r="AC52" s="264"/>
      <c r="AD52" s="263"/>
      <c r="AE52" s="263"/>
      <c r="AF52" s="264"/>
      <c r="AG52" s="264"/>
      <c r="AH52" s="263"/>
      <c r="AI52" s="263"/>
      <c r="AJ52" s="264"/>
      <c r="AK52" s="264"/>
      <c r="AL52" s="263"/>
      <c r="AM52" s="263"/>
      <c r="AN52" s="264"/>
      <c r="AO52" s="266"/>
      <c r="AP52" s="267"/>
      <c r="AQ52" s="267"/>
      <c r="AR52" s="268" t="s">
        <v>230</v>
      </c>
      <c r="AS52" s="269">
        <v>44170</v>
      </c>
      <c r="AT52" s="275" t="s">
        <v>342</v>
      </c>
      <c r="AU52" s="276"/>
    </row>
    <row r="53" spans="1:47" ht="39.75" customHeight="1" x14ac:dyDescent="0.25">
      <c r="A53" s="109">
        <f t="shared" si="1"/>
        <v>41</v>
      </c>
      <c r="B53" s="110" t="e">
        <f>#REF!</f>
        <v>#REF!</v>
      </c>
      <c r="C53" s="111" t="e">
        <f>#REF!</f>
        <v>#REF!</v>
      </c>
      <c r="D53" s="112" t="e">
        <f>#REF!</f>
        <v>#REF!</v>
      </c>
      <c r="E53" s="273" t="s">
        <v>350</v>
      </c>
      <c r="F53" s="274" t="s">
        <v>12</v>
      </c>
      <c r="G53" s="113" t="e">
        <f>#REF!</f>
        <v>#REF!</v>
      </c>
      <c r="H53" s="263" t="s">
        <v>129</v>
      </c>
      <c r="I53" s="264"/>
      <c r="J53" s="263"/>
      <c r="K53" s="264"/>
      <c r="L53" s="263"/>
      <c r="M53" s="265"/>
      <c r="N53" s="263"/>
      <c r="O53" s="263"/>
      <c r="P53" s="264"/>
      <c r="Q53" s="264"/>
      <c r="R53" s="263"/>
      <c r="S53" s="263"/>
      <c r="T53" s="264"/>
      <c r="U53" s="264"/>
      <c r="V53" s="263"/>
      <c r="W53" s="263"/>
      <c r="X53" s="264"/>
      <c r="Y53" s="264"/>
      <c r="Z53" s="263"/>
      <c r="AA53" s="263"/>
      <c r="AB53" s="264"/>
      <c r="AC53" s="264"/>
      <c r="AD53" s="263"/>
      <c r="AE53" s="263"/>
      <c r="AF53" s="264"/>
      <c r="AG53" s="264"/>
      <c r="AH53" s="263"/>
      <c r="AI53" s="263"/>
      <c r="AJ53" s="264"/>
      <c r="AK53" s="264"/>
      <c r="AL53" s="263"/>
      <c r="AM53" s="263"/>
      <c r="AN53" s="264"/>
      <c r="AO53" s="266"/>
      <c r="AP53" s="267"/>
      <c r="AQ53" s="267"/>
      <c r="AR53" s="268" t="s">
        <v>129</v>
      </c>
      <c r="AS53" s="269">
        <v>44201</v>
      </c>
      <c r="AT53" s="270" t="s">
        <v>335</v>
      </c>
      <c r="AU53" s="276"/>
    </row>
    <row r="54" spans="1:47" ht="39.75" customHeight="1" x14ac:dyDescent="0.25">
      <c r="A54" s="109">
        <f t="shared" si="1"/>
        <v>42</v>
      </c>
      <c r="B54" s="110" t="e">
        <f>#REF!</f>
        <v>#REF!</v>
      </c>
      <c r="C54" s="111" t="e">
        <f>#REF!</f>
        <v>#REF!</v>
      </c>
      <c r="D54" s="112" t="e">
        <f>#REF!</f>
        <v>#REF!</v>
      </c>
      <c r="E54" s="273" t="s">
        <v>351</v>
      </c>
      <c r="F54" s="274" t="s">
        <v>12</v>
      </c>
      <c r="G54" s="113" t="e">
        <f>#REF!</f>
        <v>#REF!</v>
      </c>
      <c r="H54" s="263" t="s">
        <v>230</v>
      </c>
      <c r="I54" s="264"/>
      <c r="J54" s="263"/>
      <c r="K54" s="264"/>
      <c r="L54" s="263"/>
      <c r="M54" s="265"/>
      <c r="N54" s="263"/>
      <c r="O54" s="263"/>
      <c r="P54" s="264"/>
      <c r="Q54" s="264"/>
      <c r="R54" s="263"/>
      <c r="S54" s="263"/>
      <c r="T54" s="264"/>
      <c r="U54" s="264"/>
      <c r="V54" s="263"/>
      <c r="W54" s="263"/>
      <c r="X54" s="264"/>
      <c r="Y54" s="264"/>
      <c r="Z54" s="263"/>
      <c r="AA54" s="263"/>
      <c r="AB54" s="264"/>
      <c r="AC54" s="264"/>
      <c r="AD54" s="263"/>
      <c r="AE54" s="263"/>
      <c r="AF54" s="264"/>
      <c r="AG54" s="264"/>
      <c r="AH54" s="263"/>
      <c r="AI54" s="263"/>
      <c r="AJ54" s="264"/>
      <c r="AK54" s="264"/>
      <c r="AL54" s="263"/>
      <c r="AM54" s="263"/>
      <c r="AN54" s="264"/>
      <c r="AO54" s="266"/>
      <c r="AP54" s="267"/>
      <c r="AQ54" s="267"/>
      <c r="AR54" s="268" t="s">
        <v>230</v>
      </c>
      <c r="AS54" s="269">
        <v>44230</v>
      </c>
      <c r="AT54" s="275" t="s">
        <v>342</v>
      </c>
      <c r="AU54" s="276"/>
    </row>
    <row r="55" spans="1:47" ht="39.75" customHeight="1" x14ac:dyDescent="0.25">
      <c r="A55" s="109">
        <f t="shared" si="1"/>
        <v>43</v>
      </c>
      <c r="B55" s="110" t="e">
        <f>#REF!</f>
        <v>#REF!</v>
      </c>
      <c r="C55" s="111" t="e">
        <f>#REF!</f>
        <v>#REF!</v>
      </c>
      <c r="D55" s="112" t="e">
        <f>#REF!</f>
        <v>#REF!</v>
      </c>
      <c r="E55" s="273" t="s">
        <v>352</v>
      </c>
      <c r="F55" s="274" t="s">
        <v>12</v>
      </c>
      <c r="G55" s="113" t="e">
        <f>#REF!</f>
        <v>#REF!</v>
      </c>
      <c r="H55" s="263" t="s">
        <v>129</v>
      </c>
      <c r="I55" s="264"/>
      <c r="J55" s="263"/>
      <c r="K55" s="264"/>
      <c r="L55" s="263"/>
      <c r="M55" s="265"/>
      <c r="N55" s="263"/>
      <c r="O55" s="263"/>
      <c r="P55" s="264"/>
      <c r="Q55" s="264"/>
      <c r="R55" s="263"/>
      <c r="S55" s="263"/>
      <c r="T55" s="264"/>
      <c r="U55" s="264"/>
      <c r="V55" s="263"/>
      <c r="W55" s="263"/>
      <c r="X55" s="264"/>
      <c r="Y55" s="264"/>
      <c r="Z55" s="263"/>
      <c r="AA55" s="263"/>
      <c r="AB55" s="264"/>
      <c r="AC55" s="264"/>
      <c r="AD55" s="263"/>
      <c r="AE55" s="263"/>
      <c r="AF55" s="264"/>
      <c r="AG55" s="264"/>
      <c r="AH55" s="263"/>
      <c r="AI55" s="263"/>
      <c r="AJ55" s="264"/>
      <c r="AK55" s="264"/>
      <c r="AL55" s="263"/>
      <c r="AM55" s="263"/>
      <c r="AN55" s="264"/>
      <c r="AO55" s="266"/>
      <c r="AP55" s="267"/>
      <c r="AQ55" s="267"/>
      <c r="AR55" s="268" t="s">
        <v>129</v>
      </c>
      <c r="AS55" s="269">
        <v>44259</v>
      </c>
      <c r="AT55" s="275" t="s">
        <v>344</v>
      </c>
      <c r="AU55" s="276"/>
    </row>
    <row r="56" spans="1:47" ht="39.75" customHeight="1" x14ac:dyDescent="0.25">
      <c r="A56" s="109">
        <f t="shared" si="1"/>
        <v>44</v>
      </c>
      <c r="B56" s="110" t="e">
        <f>#REF!</f>
        <v>#REF!</v>
      </c>
      <c r="C56" s="111" t="e">
        <f>#REF!</f>
        <v>#REF!</v>
      </c>
      <c r="D56" s="112" t="e">
        <f>#REF!</f>
        <v>#REF!</v>
      </c>
      <c r="E56" s="273" t="s">
        <v>353</v>
      </c>
      <c r="F56" s="274" t="s">
        <v>12</v>
      </c>
      <c r="G56" s="113" t="e">
        <f>#REF!</f>
        <v>#REF!</v>
      </c>
      <c r="H56" s="263" t="s">
        <v>230</v>
      </c>
      <c r="I56" s="264"/>
      <c r="J56" s="263"/>
      <c r="K56" s="264"/>
      <c r="L56" s="263"/>
      <c r="M56" s="265"/>
      <c r="N56" s="263"/>
      <c r="O56" s="263"/>
      <c r="P56" s="264"/>
      <c r="Q56" s="264"/>
      <c r="R56" s="263"/>
      <c r="S56" s="263"/>
      <c r="T56" s="264"/>
      <c r="U56" s="264"/>
      <c r="V56" s="263"/>
      <c r="W56" s="263"/>
      <c r="X56" s="264"/>
      <c r="Y56" s="264"/>
      <c r="Z56" s="263"/>
      <c r="AA56" s="263"/>
      <c r="AB56" s="264"/>
      <c r="AC56" s="264"/>
      <c r="AD56" s="263"/>
      <c r="AE56" s="263"/>
      <c r="AF56" s="264"/>
      <c r="AG56" s="264"/>
      <c r="AH56" s="263"/>
      <c r="AI56" s="263"/>
      <c r="AJ56" s="264"/>
      <c r="AK56" s="264"/>
      <c r="AL56" s="263"/>
      <c r="AM56" s="263"/>
      <c r="AN56" s="264"/>
      <c r="AO56" s="266"/>
      <c r="AP56" s="267"/>
      <c r="AQ56" s="267"/>
      <c r="AR56" s="268" t="s">
        <v>230</v>
      </c>
      <c r="AS56" s="269">
        <v>44291</v>
      </c>
      <c r="AT56" s="275" t="s">
        <v>346</v>
      </c>
      <c r="AU56" s="276"/>
    </row>
    <row r="57" spans="1:47" ht="39.75" customHeight="1" x14ac:dyDescent="0.25">
      <c r="A57" s="109">
        <f t="shared" si="1"/>
        <v>45</v>
      </c>
      <c r="B57" s="110" t="e">
        <f>#REF!</f>
        <v>#REF!</v>
      </c>
      <c r="C57" s="111" t="e">
        <f>#REF!</f>
        <v>#REF!</v>
      </c>
      <c r="D57" s="112" t="e">
        <f>#REF!</f>
        <v>#REF!</v>
      </c>
      <c r="E57" s="261" t="s">
        <v>334</v>
      </c>
      <c r="F57" s="274" t="s">
        <v>12</v>
      </c>
      <c r="G57" s="113" t="e">
        <f>#REF!</f>
        <v>#REF!</v>
      </c>
      <c r="H57" s="263" t="s">
        <v>129</v>
      </c>
      <c r="I57" s="264"/>
      <c r="J57" s="263"/>
      <c r="K57" s="264"/>
      <c r="L57" s="263"/>
      <c r="M57" s="265"/>
      <c r="N57" s="263"/>
      <c r="O57" s="263"/>
      <c r="P57" s="264"/>
      <c r="Q57" s="264"/>
      <c r="R57" s="263"/>
      <c r="S57" s="263"/>
      <c r="T57" s="264"/>
      <c r="U57" s="264"/>
      <c r="V57" s="263"/>
      <c r="W57" s="263"/>
      <c r="X57" s="264"/>
      <c r="Y57" s="264"/>
      <c r="Z57" s="263"/>
      <c r="AA57" s="263"/>
      <c r="AB57" s="264"/>
      <c r="AC57" s="264"/>
      <c r="AD57" s="263"/>
      <c r="AE57" s="263"/>
      <c r="AF57" s="264"/>
      <c r="AG57" s="264"/>
      <c r="AH57" s="263"/>
      <c r="AI57" s="263"/>
      <c r="AJ57" s="264"/>
      <c r="AK57" s="264"/>
      <c r="AL57" s="263"/>
      <c r="AM57" s="263"/>
      <c r="AN57" s="264"/>
      <c r="AO57" s="266"/>
      <c r="AP57" s="267"/>
      <c r="AQ57" s="267"/>
      <c r="AR57" s="268" t="s">
        <v>129</v>
      </c>
      <c r="AS57" s="269">
        <v>44319</v>
      </c>
      <c r="AT57" s="270" t="s">
        <v>335</v>
      </c>
      <c r="AU57" s="276"/>
    </row>
    <row r="58" spans="1:47" ht="39.75" customHeight="1" x14ac:dyDescent="0.25">
      <c r="A58" s="109">
        <f t="shared" si="1"/>
        <v>46</v>
      </c>
      <c r="B58" s="110" t="e">
        <f>#REF!</f>
        <v>#REF!</v>
      </c>
      <c r="C58" s="111" t="e">
        <f>#REF!</f>
        <v>#REF!</v>
      </c>
      <c r="D58" s="112" t="e">
        <f>#REF!</f>
        <v>#REF!</v>
      </c>
      <c r="E58" s="273" t="s">
        <v>341</v>
      </c>
      <c r="F58" s="274" t="s">
        <v>12</v>
      </c>
      <c r="G58" s="113" t="e">
        <f>#REF!</f>
        <v>#REF!</v>
      </c>
      <c r="H58" s="263" t="s">
        <v>230</v>
      </c>
      <c r="I58" s="264"/>
      <c r="J58" s="263"/>
      <c r="K58" s="264"/>
      <c r="L58" s="263"/>
      <c r="M58" s="265"/>
      <c r="N58" s="263"/>
      <c r="O58" s="263"/>
      <c r="P58" s="264"/>
      <c r="Q58" s="264"/>
      <c r="R58" s="263"/>
      <c r="S58" s="263"/>
      <c r="T58" s="264"/>
      <c r="U58" s="264"/>
      <c r="V58" s="263"/>
      <c r="W58" s="263"/>
      <c r="X58" s="264"/>
      <c r="Y58" s="264"/>
      <c r="Z58" s="263"/>
      <c r="AA58" s="263"/>
      <c r="AB58" s="264"/>
      <c r="AC58" s="264"/>
      <c r="AD58" s="263"/>
      <c r="AE58" s="263"/>
      <c r="AF58" s="264"/>
      <c r="AG58" s="264"/>
      <c r="AH58" s="263"/>
      <c r="AI58" s="263"/>
      <c r="AJ58" s="264"/>
      <c r="AK58" s="264"/>
      <c r="AL58" s="263"/>
      <c r="AM58" s="263"/>
      <c r="AN58" s="264"/>
      <c r="AO58" s="266"/>
      <c r="AP58" s="267"/>
      <c r="AQ58" s="267"/>
      <c r="AR58" s="268" t="s">
        <v>230</v>
      </c>
      <c r="AS58" s="269">
        <v>44351</v>
      </c>
      <c r="AT58" s="275" t="s">
        <v>342</v>
      </c>
      <c r="AU58" s="276"/>
    </row>
    <row r="59" spans="1:47" ht="39.75" customHeight="1" x14ac:dyDescent="0.25">
      <c r="A59" s="109">
        <f t="shared" si="1"/>
        <v>47</v>
      </c>
      <c r="B59" s="110" t="e">
        <f>#REF!</f>
        <v>#REF!</v>
      </c>
      <c r="C59" s="111" t="e">
        <f>#REF!</f>
        <v>#REF!</v>
      </c>
      <c r="D59" s="112" t="e">
        <f>#REF!</f>
        <v>#REF!</v>
      </c>
      <c r="E59" s="273" t="s">
        <v>343</v>
      </c>
      <c r="F59" s="274" t="s">
        <v>12</v>
      </c>
      <c r="G59" s="113" t="e">
        <f>#REF!</f>
        <v>#REF!</v>
      </c>
      <c r="H59" s="263" t="s">
        <v>129</v>
      </c>
      <c r="I59" s="264"/>
      <c r="J59" s="263"/>
      <c r="K59" s="264"/>
      <c r="L59" s="263"/>
      <c r="M59" s="265"/>
      <c r="N59" s="263"/>
      <c r="O59" s="263"/>
      <c r="P59" s="264"/>
      <c r="Q59" s="264"/>
      <c r="R59" s="263"/>
      <c r="S59" s="263"/>
      <c r="T59" s="264"/>
      <c r="U59" s="264"/>
      <c r="V59" s="263"/>
      <c r="W59" s="263"/>
      <c r="X59" s="264"/>
      <c r="Y59" s="264"/>
      <c r="Z59" s="263"/>
      <c r="AA59" s="263"/>
      <c r="AB59" s="264"/>
      <c r="AC59" s="264"/>
      <c r="AD59" s="263"/>
      <c r="AE59" s="263"/>
      <c r="AF59" s="264"/>
      <c r="AG59" s="264"/>
      <c r="AH59" s="263"/>
      <c r="AI59" s="263"/>
      <c r="AJ59" s="264"/>
      <c r="AK59" s="264"/>
      <c r="AL59" s="263"/>
      <c r="AM59" s="263"/>
      <c r="AN59" s="264"/>
      <c r="AO59" s="266"/>
      <c r="AP59" s="267"/>
      <c r="AQ59" s="267"/>
      <c r="AR59" s="268" t="s">
        <v>129</v>
      </c>
      <c r="AS59" s="269">
        <v>44379</v>
      </c>
      <c r="AT59" s="275" t="s">
        <v>344</v>
      </c>
      <c r="AU59" s="276"/>
    </row>
    <row r="60" spans="1:47" ht="39.75" customHeight="1" x14ac:dyDescent="0.25">
      <c r="A60" s="109">
        <f t="shared" si="1"/>
        <v>48</v>
      </c>
      <c r="B60" s="110" t="e">
        <f>#REF!</f>
        <v>#REF!</v>
      </c>
      <c r="C60" s="111" t="e">
        <f>#REF!</f>
        <v>#REF!</v>
      </c>
      <c r="D60" s="112" t="e">
        <f>#REF!</f>
        <v>#REF!</v>
      </c>
      <c r="E60" s="273" t="s">
        <v>345</v>
      </c>
      <c r="F60" s="274" t="s">
        <v>12</v>
      </c>
      <c r="G60" s="113" t="e">
        <f>#REF!</f>
        <v>#REF!</v>
      </c>
      <c r="H60" s="263" t="s">
        <v>230</v>
      </c>
      <c r="I60" s="264"/>
      <c r="J60" s="263"/>
      <c r="K60" s="264"/>
      <c r="L60" s="263"/>
      <c r="M60" s="265"/>
      <c r="N60" s="263"/>
      <c r="O60" s="263"/>
      <c r="P60" s="264"/>
      <c r="Q60" s="264"/>
      <c r="R60" s="263"/>
      <c r="S60" s="263"/>
      <c r="T60" s="264"/>
      <c r="U60" s="264"/>
      <c r="V60" s="263"/>
      <c r="W60" s="263"/>
      <c r="X60" s="264"/>
      <c r="Y60" s="264"/>
      <c r="Z60" s="263"/>
      <c r="AA60" s="263"/>
      <c r="AB60" s="264"/>
      <c r="AC60" s="264"/>
      <c r="AD60" s="263"/>
      <c r="AE60" s="263"/>
      <c r="AF60" s="264"/>
      <c r="AG60" s="264"/>
      <c r="AH60" s="263"/>
      <c r="AI60" s="263"/>
      <c r="AJ60" s="264"/>
      <c r="AK60" s="264"/>
      <c r="AL60" s="263"/>
      <c r="AM60" s="263"/>
      <c r="AN60" s="264"/>
      <c r="AO60" s="266"/>
      <c r="AP60" s="267"/>
      <c r="AQ60" s="267"/>
      <c r="AR60" s="268" t="s">
        <v>230</v>
      </c>
      <c r="AS60" s="269">
        <v>44412</v>
      </c>
      <c r="AT60" s="275" t="s">
        <v>346</v>
      </c>
      <c r="AU60" s="276"/>
    </row>
    <row r="61" spans="1:47" ht="39.75" customHeight="1" x14ac:dyDescent="0.25">
      <c r="A61" s="109">
        <f t="shared" si="1"/>
        <v>49</v>
      </c>
      <c r="B61" s="110" t="e">
        <f>#REF!</f>
        <v>#REF!</v>
      </c>
      <c r="C61" s="111" t="e">
        <f>#REF!</f>
        <v>#REF!</v>
      </c>
      <c r="D61" s="112" t="e">
        <f>#REF!</f>
        <v>#REF!</v>
      </c>
      <c r="E61" s="273" t="s">
        <v>347</v>
      </c>
      <c r="F61" s="274" t="s">
        <v>12</v>
      </c>
      <c r="G61" s="113" t="e">
        <f>#REF!</f>
        <v>#REF!</v>
      </c>
      <c r="H61" s="263" t="s">
        <v>129</v>
      </c>
      <c r="I61" s="264"/>
      <c r="J61" s="263"/>
      <c r="K61" s="264"/>
      <c r="L61" s="263"/>
      <c r="M61" s="265"/>
      <c r="N61" s="263"/>
      <c r="O61" s="263"/>
      <c r="P61" s="264"/>
      <c r="Q61" s="264"/>
      <c r="R61" s="263"/>
      <c r="S61" s="263"/>
      <c r="T61" s="264"/>
      <c r="U61" s="264"/>
      <c r="V61" s="263"/>
      <c r="W61" s="263"/>
      <c r="X61" s="264"/>
      <c r="Y61" s="264"/>
      <c r="Z61" s="263"/>
      <c r="AA61" s="263"/>
      <c r="AB61" s="264"/>
      <c r="AC61" s="264"/>
      <c r="AD61" s="263"/>
      <c r="AE61" s="263"/>
      <c r="AF61" s="264"/>
      <c r="AG61" s="264"/>
      <c r="AH61" s="263"/>
      <c r="AI61" s="263"/>
      <c r="AJ61" s="264"/>
      <c r="AK61" s="264"/>
      <c r="AL61" s="263"/>
      <c r="AM61" s="263"/>
      <c r="AN61" s="264"/>
      <c r="AO61" s="266"/>
      <c r="AP61" s="267"/>
      <c r="AQ61" s="267"/>
      <c r="AR61" s="268" t="s">
        <v>129</v>
      </c>
      <c r="AS61" s="269">
        <v>44076</v>
      </c>
      <c r="AT61" s="270" t="s">
        <v>335</v>
      </c>
      <c r="AU61" s="276"/>
    </row>
    <row r="62" spans="1:47" ht="39.75" customHeight="1" x14ac:dyDescent="0.25">
      <c r="A62" s="109">
        <f t="shared" si="1"/>
        <v>50</v>
      </c>
      <c r="B62" s="110" t="e">
        <f>#REF!</f>
        <v>#REF!</v>
      </c>
      <c r="C62" s="111" t="e">
        <f>#REF!</f>
        <v>#REF!</v>
      </c>
      <c r="D62" s="112" t="e">
        <f>#REF!</f>
        <v>#REF!</v>
      </c>
      <c r="E62" s="273" t="s">
        <v>348</v>
      </c>
      <c r="F62" s="274" t="s">
        <v>12</v>
      </c>
      <c r="G62" s="113" t="e">
        <f>#REF!</f>
        <v>#REF!</v>
      </c>
      <c r="H62" s="263" t="s">
        <v>230</v>
      </c>
      <c r="I62" s="264"/>
      <c r="J62" s="263"/>
      <c r="K62" s="264"/>
      <c r="L62" s="263"/>
      <c r="M62" s="265"/>
      <c r="N62" s="263"/>
      <c r="O62" s="263"/>
      <c r="P62" s="264"/>
      <c r="Q62" s="264"/>
      <c r="R62" s="263"/>
      <c r="S62" s="263"/>
      <c r="T62" s="264"/>
      <c r="U62" s="264"/>
      <c r="V62" s="263"/>
      <c r="W62" s="263"/>
      <c r="X62" s="264"/>
      <c r="Y62" s="264"/>
      <c r="Z62" s="263"/>
      <c r="AA62" s="263"/>
      <c r="AB62" s="264"/>
      <c r="AC62" s="264"/>
      <c r="AD62" s="263"/>
      <c r="AE62" s="263"/>
      <c r="AF62" s="264"/>
      <c r="AG62" s="264"/>
      <c r="AH62" s="263"/>
      <c r="AI62" s="263"/>
      <c r="AJ62" s="264"/>
      <c r="AK62" s="264"/>
      <c r="AL62" s="263"/>
      <c r="AM62" s="263"/>
      <c r="AN62" s="264"/>
      <c r="AO62" s="266"/>
      <c r="AP62" s="267"/>
      <c r="AQ62" s="267"/>
      <c r="AR62" s="268" t="s">
        <v>230</v>
      </c>
      <c r="AS62" s="269">
        <v>44139</v>
      </c>
      <c r="AT62" s="275" t="s">
        <v>342</v>
      </c>
      <c r="AU62" s="276"/>
    </row>
    <row r="63" spans="1:47" ht="15.75" customHeight="1" x14ac:dyDescent="0.25">
      <c r="A63" s="122"/>
      <c r="D63" s="277"/>
      <c r="E63" s="278"/>
      <c r="F63" s="277"/>
    </row>
    <row r="64" spans="1:47" ht="15.75" customHeight="1" x14ac:dyDescent="0.25">
      <c r="A64" s="122"/>
      <c r="E64" s="279"/>
    </row>
    <row r="65" spans="1:5" ht="15.75" customHeight="1" x14ac:dyDescent="0.25">
      <c r="A65" s="122"/>
      <c r="E65" s="279"/>
    </row>
    <row r="66" spans="1:5" ht="15.75" customHeight="1" x14ac:dyDescent="0.25">
      <c r="A66" s="122"/>
      <c r="E66" s="279"/>
    </row>
    <row r="67" spans="1:5" ht="15.75" customHeight="1" x14ac:dyDescent="0.25">
      <c r="A67" s="122"/>
      <c r="E67" s="279"/>
    </row>
    <row r="68" spans="1:5" ht="15.75" customHeight="1" x14ac:dyDescent="0.25">
      <c r="A68" s="122"/>
    </row>
    <row r="69" spans="1:5" ht="15.75" customHeight="1" x14ac:dyDescent="0.25"/>
    <row r="70" spans="1:5" ht="15.75" customHeight="1" x14ac:dyDescent="0.25"/>
    <row r="71" spans="1:5" ht="15.75" customHeight="1" x14ac:dyDescent="0.25"/>
    <row r="72" spans="1:5" ht="15.75" customHeight="1" x14ac:dyDescent="0.25"/>
    <row r="73" spans="1:5" ht="15.75" customHeight="1" x14ac:dyDescent="0.25"/>
    <row r="74" spans="1:5" ht="15.75" customHeight="1" x14ac:dyDescent="0.25"/>
    <row r="75" spans="1:5" ht="15.75" customHeight="1" x14ac:dyDescent="0.25"/>
    <row r="76" spans="1:5" ht="15.75" customHeight="1" x14ac:dyDescent="0.25"/>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1">
    <mergeCell ref="CR11:CT11"/>
    <mergeCell ref="CU11:CW11"/>
    <mergeCell ref="BW11:BY11"/>
    <mergeCell ref="BZ11:CB11"/>
    <mergeCell ref="CC11:CE11"/>
    <mergeCell ref="CF11:CH11"/>
    <mergeCell ref="CI11:CK11"/>
    <mergeCell ref="CL11:CN11"/>
    <mergeCell ref="CO11:CQ11"/>
    <mergeCell ref="CA13:CG14"/>
    <mergeCell ref="BH10:BK10"/>
    <mergeCell ref="BL10:BM10"/>
    <mergeCell ref="BN10:BQ10"/>
    <mergeCell ref="BR10:BV10"/>
    <mergeCell ref="BW10:CB10"/>
    <mergeCell ref="BH11:BM11"/>
    <mergeCell ref="BN11:BP11"/>
    <mergeCell ref="BQ11:BS11"/>
    <mergeCell ref="BT11:BV11"/>
    <mergeCell ref="BK13:BM14"/>
    <mergeCell ref="BN13:BP14"/>
    <mergeCell ref="BQ13:BS14"/>
    <mergeCell ref="BT13:BZ14"/>
    <mergeCell ref="BR8:BV8"/>
    <mergeCell ref="BW8:CB8"/>
    <mergeCell ref="BR9:BV9"/>
    <mergeCell ref="BW9:CB9"/>
    <mergeCell ref="BH6:BK6"/>
    <mergeCell ref="BH7:BK7"/>
    <mergeCell ref="BL7:BQ7"/>
    <mergeCell ref="BR7:BV7"/>
    <mergeCell ref="BW7:CB7"/>
    <mergeCell ref="BH8:BK9"/>
    <mergeCell ref="BL8:BQ9"/>
    <mergeCell ref="BH2:CB2"/>
    <mergeCell ref="BH3:CB3"/>
    <mergeCell ref="BH4:CB4"/>
    <mergeCell ref="BH5:CZ5"/>
    <mergeCell ref="BL6:BQ6"/>
    <mergeCell ref="BR6:BV6"/>
    <mergeCell ref="BW6:CB6"/>
  </mergeCells>
  <conditionalFormatting sqref="E13:F62">
    <cfRule type="expression" dxfId="26" priority="5">
      <formula>$E13="Other - Specify in Note Section"</formula>
    </cfRule>
  </conditionalFormatting>
  <conditionalFormatting sqref="H15:H16">
    <cfRule type="expression" dxfId="25" priority="7">
      <formula>#REF!="YES"</formula>
    </cfRule>
  </conditionalFormatting>
  <conditionalFormatting sqref="H17:H62">
    <cfRule type="expression" dxfId="24" priority="8">
      <formula>#REF!="YES"</formula>
    </cfRule>
  </conditionalFormatting>
  <conditionalFormatting sqref="H13:AQ14 I15:AQ62">
    <cfRule type="expression" dxfId="23" priority="1">
      <formula>#REF!="YES"</formula>
    </cfRule>
  </conditionalFormatting>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C00-000000000000}">
          <x14:formula1>
            <xm:f>'Pick List '!$R$89:$R$92</xm:f>
          </x14:formula1>
          <xm:sqref>AT13:AT62</xm:sqref>
        </x14:dataValidation>
        <x14:dataValidation type="list" allowBlank="1" showErrorMessage="1" xr:uid="{00000000-0002-0000-0C00-000001000000}">
          <x14:formula1>
            <xm:f>'Pick List '!$F$41:$F$51</xm:f>
          </x14:formula1>
          <xm:sqref>E13:E67</xm:sqref>
        </x14:dataValidation>
        <x14:dataValidation type="list" allowBlank="1" showErrorMessage="1" xr:uid="{00000000-0002-0000-0C00-000002000000}">
          <x14:formula1>
            <xm:f>'Pick List '!$G$15:$G$16</xm:f>
          </x14:formula1>
          <xm:sqref>H13:H62 J13:J62 L13:L62 AQ13:AR62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4B083"/>
  </sheetPr>
  <dimension ref="A1:BB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0.85546875" customWidth="1"/>
    <col min="4" max="4" width="12.42578125" customWidth="1"/>
    <col min="5" max="5" width="14.28515625" customWidth="1"/>
    <col min="6" max="6" width="14.42578125" customWidth="1"/>
    <col min="7" max="7" width="6.7109375" customWidth="1"/>
    <col min="8" max="8" width="7.42578125" customWidth="1"/>
    <col min="9" max="9" width="9.7109375" customWidth="1"/>
    <col min="10" max="10" width="6.7109375" customWidth="1"/>
    <col min="11" max="11" width="7.42578125" customWidth="1"/>
    <col min="12" max="12" width="9.7109375" customWidth="1"/>
    <col min="13" max="13" width="6.7109375" customWidth="1"/>
    <col min="14" max="14" width="7" customWidth="1"/>
    <col min="15" max="15" width="9.7109375" customWidth="1"/>
    <col min="16" max="17" width="6.7109375" customWidth="1"/>
    <col min="18" max="18" width="9.7109375" customWidth="1"/>
    <col min="19" max="20" width="6.7109375" customWidth="1"/>
    <col min="21" max="21" width="9.7109375" customWidth="1"/>
    <col min="22" max="23" width="6.7109375" customWidth="1"/>
    <col min="24" max="24" width="9.7109375" customWidth="1"/>
    <col min="25" max="26" width="6.7109375" customWidth="1"/>
    <col min="27" max="27" width="9.7109375" customWidth="1"/>
    <col min="28" max="29" width="6.7109375" customWidth="1"/>
    <col min="30" max="30" width="9.7109375" customWidth="1"/>
    <col min="31" max="32" width="6.7109375" customWidth="1"/>
    <col min="33" max="33" width="9.7109375" customWidth="1"/>
    <col min="34" max="35" width="6.7109375" customWidth="1"/>
    <col min="36" max="36" width="9.7109375" customWidth="1"/>
    <col min="37" max="38" width="6.7109375" customWidth="1"/>
    <col min="39" max="39" width="9.7109375" customWidth="1"/>
    <col min="40" max="41" width="6.7109375" customWidth="1"/>
    <col min="42" max="42" width="9.7109375" customWidth="1"/>
    <col min="43" max="43" width="6.7109375" customWidth="1"/>
    <col min="44" max="44" width="12.28515625" customWidth="1"/>
    <col min="45" max="45" width="5.7109375" customWidth="1"/>
    <col min="46" max="46" width="9.7109375" customWidth="1"/>
    <col min="47" max="47" width="6.7109375" customWidth="1"/>
    <col min="48" max="48" width="12.7109375" customWidth="1"/>
    <col min="49" max="49" width="5.7109375" customWidth="1"/>
    <col min="50" max="50" width="9.7109375" customWidth="1"/>
    <col min="51" max="51" width="8.7109375" customWidth="1"/>
    <col min="52" max="52" width="11.140625" customWidth="1"/>
    <col min="53" max="53" width="19.28515625" customWidth="1"/>
    <col min="54" max="54" width="17" customWidth="1"/>
  </cols>
  <sheetData>
    <row r="1" spans="1:54" ht="69.75" customHeight="1" x14ac:dyDescent="0.25">
      <c r="A1" s="89" t="s">
        <v>27</v>
      </c>
      <c r="B1" s="90" t="s">
        <v>212</v>
      </c>
      <c r="C1" s="91" t="s">
        <v>213</v>
      </c>
      <c r="D1" s="90" t="s">
        <v>214</v>
      </c>
      <c r="E1" s="91" t="s">
        <v>288</v>
      </c>
      <c r="F1" s="280" t="s">
        <v>216</v>
      </c>
      <c r="G1" s="281" t="s">
        <v>354</v>
      </c>
      <c r="H1" s="282" t="s">
        <v>208</v>
      </c>
      <c r="I1" s="283" t="s">
        <v>209</v>
      </c>
      <c r="J1" s="284" t="s">
        <v>355</v>
      </c>
      <c r="K1" s="285" t="s">
        <v>205</v>
      </c>
      <c r="L1" s="286" t="s">
        <v>206</v>
      </c>
      <c r="M1" s="281" t="s">
        <v>356</v>
      </c>
      <c r="N1" s="282" t="s">
        <v>208</v>
      </c>
      <c r="O1" s="283" t="s">
        <v>209</v>
      </c>
      <c r="P1" s="284" t="s">
        <v>357</v>
      </c>
      <c r="Q1" s="285" t="s">
        <v>205</v>
      </c>
      <c r="R1" s="286" t="s">
        <v>206</v>
      </c>
      <c r="S1" s="281" t="s">
        <v>358</v>
      </c>
      <c r="T1" s="282" t="s">
        <v>208</v>
      </c>
      <c r="U1" s="283" t="s">
        <v>209</v>
      </c>
      <c r="V1" s="284" t="s">
        <v>359</v>
      </c>
      <c r="W1" s="285" t="s">
        <v>205</v>
      </c>
      <c r="X1" s="286" t="s">
        <v>206</v>
      </c>
      <c r="Y1" s="281" t="s">
        <v>360</v>
      </c>
      <c r="Z1" s="282" t="s">
        <v>208</v>
      </c>
      <c r="AA1" s="283" t="s">
        <v>209</v>
      </c>
      <c r="AB1" s="284" t="s">
        <v>361</v>
      </c>
      <c r="AC1" s="285" t="s">
        <v>205</v>
      </c>
      <c r="AD1" s="286" t="s">
        <v>206</v>
      </c>
      <c r="AE1" s="287" t="s">
        <v>362</v>
      </c>
      <c r="AF1" s="282" t="s">
        <v>208</v>
      </c>
      <c r="AG1" s="283" t="s">
        <v>209</v>
      </c>
      <c r="AH1" s="288" t="s">
        <v>204</v>
      </c>
      <c r="AI1" s="285" t="s">
        <v>205</v>
      </c>
      <c r="AJ1" s="286" t="s">
        <v>206</v>
      </c>
      <c r="AK1" s="289" t="s">
        <v>207</v>
      </c>
      <c r="AL1" s="282" t="s">
        <v>208</v>
      </c>
      <c r="AM1" s="283" t="s">
        <v>209</v>
      </c>
      <c r="AN1" s="290" t="s">
        <v>210</v>
      </c>
      <c r="AO1" s="285" t="s">
        <v>205</v>
      </c>
      <c r="AP1" s="286" t="s">
        <v>206</v>
      </c>
      <c r="AQ1" s="291" t="s">
        <v>363</v>
      </c>
      <c r="AR1" s="292" t="s">
        <v>364</v>
      </c>
      <c r="AS1" s="293" t="s">
        <v>208</v>
      </c>
      <c r="AT1" s="293" t="s">
        <v>209</v>
      </c>
      <c r="AU1" s="294" t="s">
        <v>365</v>
      </c>
      <c r="AV1" s="295" t="s">
        <v>366</v>
      </c>
      <c r="AW1" s="285" t="s">
        <v>205</v>
      </c>
      <c r="AX1" s="286" t="s">
        <v>206</v>
      </c>
      <c r="AY1" s="296" t="s">
        <v>330</v>
      </c>
      <c r="AZ1" s="297" t="s">
        <v>331</v>
      </c>
      <c r="BA1" s="298" t="s">
        <v>332</v>
      </c>
      <c r="BB1" s="299" t="s">
        <v>333</v>
      </c>
    </row>
    <row r="2" spans="1:54" ht="15.75" x14ac:dyDescent="0.25">
      <c r="A2" s="786" t="str">
        <f>'BASE GRANTEE INFO &amp; UPDATES'!A1</f>
        <v>WV Bureau For Behavioral Health - Harm Reduction 2025</v>
      </c>
      <c r="B2" s="708"/>
      <c r="C2" s="708"/>
      <c r="D2" s="708"/>
      <c r="E2" s="708"/>
      <c r="F2" s="708"/>
      <c r="G2" s="708"/>
      <c r="H2" s="708"/>
      <c r="I2" s="708"/>
      <c r="J2" s="708"/>
      <c r="K2" s="708"/>
      <c r="L2" s="708"/>
      <c r="M2" s="708"/>
      <c r="N2" s="708"/>
      <c r="O2" s="708"/>
      <c r="P2" s="708"/>
      <c r="Q2" s="708"/>
      <c r="R2" s="708"/>
      <c r="S2" s="708"/>
      <c r="T2" s="708"/>
      <c r="U2" s="709"/>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300"/>
    </row>
    <row r="3" spans="1:54" ht="15.75" x14ac:dyDescent="0.25">
      <c r="A3" s="786">
        <f>'BASE GRANTEE INFO &amp; UPDATES'!A2</f>
        <v>0</v>
      </c>
      <c r="B3" s="708"/>
      <c r="C3" s="708"/>
      <c r="D3" s="708"/>
      <c r="E3" s="708"/>
      <c r="F3" s="708"/>
      <c r="G3" s="708"/>
      <c r="H3" s="708"/>
      <c r="I3" s="708"/>
      <c r="J3" s="708"/>
      <c r="K3" s="708"/>
      <c r="L3" s="708"/>
      <c r="M3" s="708"/>
      <c r="N3" s="708"/>
      <c r="O3" s="708"/>
      <c r="P3" s="708"/>
      <c r="Q3" s="708"/>
      <c r="R3" s="708"/>
      <c r="S3" s="708"/>
      <c r="T3" s="708"/>
      <c r="U3" s="709"/>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301"/>
    </row>
    <row r="4" spans="1:54" ht="15.75" x14ac:dyDescent="0.25">
      <c r="A4" s="787" t="str">
        <f>'BASE GRANTEE INFO &amp; UPDATES'!A3</f>
        <v xml:space="preserve">Program reports need to be submitted electronically, via e-mail to BBHReporting@wv.gov  within 25 calendar days of the end of each month </v>
      </c>
      <c r="B4" s="708"/>
      <c r="C4" s="708"/>
      <c r="D4" s="708"/>
      <c r="E4" s="708"/>
      <c r="F4" s="708"/>
      <c r="G4" s="708"/>
      <c r="H4" s="708"/>
      <c r="I4" s="708"/>
      <c r="J4" s="708"/>
      <c r="K4" s="708"/>
      <c r="L4" s="708"/>
      <c r="M4" s="708"/>
      <c r="N4" s="708"/>
      <c r="O4" s="708"/>
      <c r="P4" s="708"/>
      <c r="Q4" s="708"/>
      <c r="R4" s="708"/>
      <c r="S4" s="708"/>
      <c r="T4" s="708"/>
      <c r="U4" s="709"/>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302"/>
    </row>
    <row r="5" spans="1:54" ht="18.75" x14ac:dyDescent="0.25">
      <c r="A5" s="835" t="s">
        <v>309</v>
      </c>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708"/>
      <c r="AE5" s="708"/>
      <c r="AF5" s="708"/>
      <c r="AG5" s="708"/>
      <c r="AH5" s="708"/>
      <c r="AI5" s="708"/>
      <c r="AJ5" s="708"/>
      <c r="AK5" s="708"/>
      <c r="AL5" s="708"/>
      <c r="AM5" s="708"/>
      <c r="AN5" s="708"/>
      <c r="AO5" s="708"/>
      <c r="AP5" s="708"/>
      <c r="AQ5" s="708"/>
      <c r="AR5" s="708"/>
      <c r="AS5" s="708"/>
      <c r="AT5" s="708"/>
      <c r="AU5" s="709"/>
      <c r="AV5" s="168"/>
      <c r="AW5" s="168"/>
      <c r="AX5" s="168"/>
      <c r="AY5" s="168"/>
      <c r="AZ5" s="168"/>
      <c r="BA5" s="168"/>
      <c r="BB5" s="303"/>
    </row>
    <row r="6" spans="1:54" ht="15" customHeight="1" x14ac:dyDescent="0.25">
      <c r="A6" s="790" t="s">
        <v>367</v>
      </c>
      <c r="B6" s="698"/>
      <c r="C6" s="698"/>
      <c r="D6" s="699"/>
      <c r="E6" s="794" t="str">
        <f>'BASE GRANTEE INFO &amp; UPDATES'!E5</f>
        <v>Harm Reduction Program</v>
      </c>
      <c r="F6" s="698"/>
      <c r="G6" s="698"/>
      <c r="H6" s="698"/>
      <c r="I6" s="698"/>
      <c r="J6" s="699"/>
      <c r="K6" s="795" t="s">
        <v>0</v>
      </c>
      <c r="L6" s="698"/>
      <c r="M6" s="698"/>
      <c r="N6" s="698"/>
      <c r="O6" s="714"/>
      <c r="P6" s="836">
        <f>'BASE GRANTEE INFO &amp; UPDATES'!M5</f>
        <v>0</v>
      </c>
      <c r="Q6" s="698"/>
      <c r="R6" s="698"/>
      <c r="S6" s="698"/>
      <c r="T6" s="698"/>
      <c r="U6" s="714"/>
      <c r="V6" s="98"/>
      <c r="W6" s="99"/>
      <c r="X6" s="99"/>
      <c r="Y6" s="99"/>
      <c r="Z6" s="99"/>
      <c r="AA6" s="99"/>
      <c r="AB6" s="99"/>
      <c r="AC6" s="99"/>
      <c r="AD6" s="248"/>
      <c r="AE6" s="164"/>
      <c r="AF6" s="164"/>
      <c r="AG6" s="164"/>
      <c r="AH6" s="164"/>
      <c r="AI6" s="164"/>
      <c r="AJ6" s="164"/>
      <c r="AK6" s="164"/>
      <c r="AL6" s="164"/>
      <c r="AM6" s="164"/>
      <c r="AN6" s="164"/>
      <c r="AO6" s="164"/>
      <c r="AP6" s="164"/>
      <c r="AQ6" s="164"/>
      <c r="AR6" s="164"/>
      <c r="AS6" s="164"/>
      <c r="AT6" s="164"/>
      <c r="AU6" s="99"/>
      <c r="AV6" s="164"/>
      <c r="AW6" s="164"/>
      <c r="AX6" s="164"/>
      <c r="AY6" s="164"/>
      <c r="AZ6" s="164"/>
      <c r="BA6" s="164"/>
      <c r="BB6" s="304"/>
    </row>
    <row r="7" spans="1:54" x14ac:dyDescent="0.25">
      <c r="A7" s="790" t="s">
        <v>368</v>
      </c>
      <c r="B7" s="698"/>
      <c r="C7" s="698"/>
      <c r="D7" s="699"/>
      <c r="E7" s="797">
        <f>'BASE GRANTEE INFO &amp; UPDATES'!E6</f>
        <v>0</v>
      </c>
      <c r="F7" s="698"/>
      <c r="G7" s="698"/>
      <c r="H7" s="698"/>
      <c r="I7" s="698"/>
      <c r="J7" s="699"/>
      <c r="K7" s="795" t="s">
        <v>1</v>
      </c>
      <c r="L7" s="698"/>
      <c r="M7" s="698"/>
      <c r="N7" s="698"/>
      <c r="O7" s="714"/>
      <c r="P7" s="836">
        <f>'BASE GRANTEE INFO &amp; UPDATES'!M6</f>
        <v>0</v>
      </c>
      <c r="Q7" s="698"/>
      <c r="R7" s="698"/>
      <c r="S7" s="698"/>
      <c r="T7" s="698"/>
      <c r="U7" s="714"/>
      <c r="V7" s="98"/>
      <c r="W7" s="99"/>
      <c r="X7" s="99"/>
      <c r="Y7" s="99"/>
      <c r="Z7" s="99"/>
      <c r="AA7" s="99"/>
      <c r="AB7" s="99"/>
      <c r="AC7" s="99"/>
      <c r="AD7" s="248"/>
      <c r="AE7" s="164"/>
      <c r="AF7" s="164"/>
      <c r="AG7" s="164"/>
      <c r="AH7" s="164"/>
      <c r="AI7" s="164"/>
      <c r="AJ7" s="164"/>
      <c r="AK7" s="164"/>
      <c r="AL7" s="164"/>
      <c r="AM7" s="164"/>
      <c r="AN7" s="164"/>
      <c r="AO7" s="164"/>
      <c r="AP7" s="164"/>
      <c r="AQ7" s="164"/>
      <c r="AR7" s="164"/>
      <c r="AS7" s="164"/>
      <c r="AT7" s="164"/>
      <c r="AU7" s="99"/>
      <c r="AV7" s="164"/>
      <c r="AW7" s="164"/>
      <c r="AX7" s="164"/>
      <c r="AY7" s="164"/>
      <c r="AZ7" s="164"/>
      <c r="BA7" s="164"/>
      <c r="BB7" s="304"/>
    </row>
    <row r="8" spans="1:54" ht="15" customHeight="1" x14ac:dyDescent="0.25">
      <c r="A8" s="789" t="s">
        <v>2</v>
      </c>
      <c r="B8" s="766"/>
      <c r="C8" s="766"/>
      <c r="D8" s="767"/>
      <c r="E8" s="798">
        <f>'BASE GRANTEE INFO &amp; UPDATES'!E7</f>
        <v>0</v>
      </c>
      <c r="F8" s="766"/>
      <c r="G8" s="766"/>
      <c r="H8" s="766"/>
      <c r="I8" s="766"/>
      <c r="J8" s="767"/>
      <c r="K8" s="837" t="s">
        <v>3</v>
      </c>
      <c r="L8" s="705"/>
      <c r="M8" s="705"/>
      <c r="N8" s="705"/>
      <c r="O8" s="833"/>
      <c r="P8" s="836">
        <f>'BASE GRANTEE INFO &amp; UPDATES'!M7</f>
        <v>0</v>
      </c>
      <c r="Q8" s="698"/>
      <c r="R8" s="698"/>
      <c r="S8" s="698"/>
      <c r="T8" s="698"/>
      <c r="U8" s="714"/>
      <c r="V8" s="98"/>
      <c r="W8" s="99"/>
      <c r="X8" s="99"/>
      <c r="Y8" s="99"/>
      <c r="Z8" s="99"/>
      <c r="AA8" s="99"/>
      <c r="AB8" s="99"/>
      <c r="AC8" s="99"/>
      <c r="AD8" s="248"/>
      <c r="AE8" s="164"/>
      <c r="AF8" s="164"/>
      <c r="AG8" s="164"/>
      <c r="AH8" s="164"/>
      <c r="AI8" s="164"/>
      <c r="AJ8" s="164"/>
      <c r="AK8" s="164"/>
      <c r="AL8" s="164"/>
      <c r="AM8" s="164"/>
      <c r="AN8" s="164"/>
      <c r="AO8" s="164"/>
      <c r="AP8" s="164"/>
      <c r="AQ8" s="164"/>
      <c r="AR8" s="164"/>
      <c r="AS8" s="164"/>
      <c r="AT8" s="164"/>
      <c r="AU8" s="99"/>
      <c r="AV8" s="164"/>
      <c r="AW8" s="164"/>
      <c r="AX8" s="164"/>
      <c r="AY8" s="164"/>
      <c r="AZ8" s="164"/>
      <c r="BA8" s="164"/>
      <c r="BB8" s="304"/>
    </row>
    <row r="9" spans="1:54" x14ac:dyDescent="0.25">
      <c r="A9" s="768"/>
      <c r="B9" s="769"/>
      <c r="C9" s="769"/>
      <c r="D9" s="770"/>
      <c r="E9" s="768"/>
      <c r="F9" s="769"/>
      <c r="G9" s="769"/>
      <c r="H9" s="769"/>
      <c r="I9" s="769"/>
      <c r="J9" s="770"/>
      <c r="K9" s="838" t="s">
        <v>369</v>
      </c>
      <c r="L9" s="711"/>
      <c r="M9" s="711"/>
      <c r="N9" s="711"/>
      <c r="O9" s="757"/>
      <c r="P9" s="836">
        <f>'BASE GRANTEE INFO &amp; UPDATES'!M8</f>
        <v>0</v>
      </c>
      <c r="Q9" s="698"/>
      <c r="R9" s="698"/>
      <c r="S9" s="698"/>
      <c r="T9" s="698"/>
      <c r="U9" s="714"/>
      <c r="V9" s="98"/>
      <c r="W9" s="99"/>
      <c r="X9" s="99"/>
      <c r="Y9" s="99"/>
      <c r="Z9" s="99"/>
      <c r="AA9" s="99"/>
      <c r="AB9" s="99"/>
      <c r="AC9" s="99"/>
      <c r="AD9" s="99"/>
      <c r="AE9" s="164"/>
      <c r="AF9" s="164"/>
      <c r="AG9" s="164"/>
      <c r="AH9" s="164"/>
      <c r="AI9" s="164"/>
      <c r="AJ9" s="164"/>
      <c r="AK9" s="164"/>
      <c r="AL9" s="164"/>
      <c r="AM9" s="164"/>
      <c r="AN9" s="164"/>
      <c r="AO9" s="164"/>
      <c r="AP9" s="164"/>
      <c r="AQ9" s="164"/>
      <c r="AR9" s="164"/>
      <c r="AS9" s="164"/>
      <c r="AT9" s="164"/>
      <c r="AU9" s="99"/>
      <c r="AV9" s="164"/>
      <c r="AW9" s="164"/>
      <c r="AX9" s="164"/>
      <c r="AY9" s="164"/>
      <c r="AZ9" s="164"/>
      <c r="BA9" s="164"/>
      <c r="BB9" s="304"/>
    </row>
    <row r="10" spans="1:54" x14ac:dyDescent="0.25">
      <c r="A10" s="790" t="s">
        <v>370</v>
      </c>
      <c r="B10" s="698"/>
      <c r="C10" s="698"/>
      <c r="D10" s="699"/>
      <c r="E10" s="791" t="str">
        <f>'BASE GRANTEE INFO &amp; UPDATES'!E9</f>
        <v>September 1 - 30</v>
      </c>
      <c r="F10" s="699"/>
      <c r="G10" s="840">
        <f>'BASE GRANTEE INFO &amp; UPDATES'!G9</f>
        <v>2024</v>
      </c>
      <c r="H10" s="698"/>
      <c r="I10" s="698"/>
      <c r="J10" s="699"/>
      <c r="K10" s="792" t="s">
        <v>371</v>
      </c>
      <c r="L10" s="698"/>
      <c r="M10" s="698"/>
      <c r="N10" s="698"/>
      <c r="O10" s="714"/>
      <c r="P10" s="836">
        <f>'BASE GRANTEE INFO &amp; UPDATES'!M9</f>
        <v>0</v>
      </c>
      <c r="Q10" s="698"/>
      <c r="R10" s="698"/>
      <c r="S10" s="698"/>
      <c r="T10" s="698"/>
      <c r="U10" s="714"/>
      <c r="V10" s="249"/>
      <c r="W10" s="250"/>
      <c r="X10" s="250"/>
      <c r="Y10" s="250"/>
      <c r="Z10" s="250"/>
      <c r="AA10" s="250"/>
      <c r="AB10" s="250"/>
      <c r="AC10" s="250"/>
      <c r="AD10" s="250"/>
      <c r="AE10" s="171"/>
      <c r="AF10" s="171"/>
      <c r="AG10" s="171"/>
      <c r="AH10" s="171"/>
      <c r="AI10" s="171"/>
      <c r="AJ10" s="171"/>
      <c r="AK10" s="171"/>
      <c r="AL10" s="171"/>
      <c r="AM10" s="171"/>
      <c r="AN10" s="171"/>
      <c r="AO10" s="171"/>
      <c r="AP10" s="171"/>
      <c r="AQ10" s="164"/>
      <c r="AR10" s="164"/>
      <c r="AS10" s="164"/>
      <c r="AT10" s="164"/>
      <c r="AU10" s="99"/>
      <c r="AV10" s="164"/>
      <c r="AW10" s="164"/>
      <c r="AX10" s="164"/>
      <c r="AY10" s="164"/>
      <c r="AZ10" s="164"/>
      <c r="BA10" s="164"/>
      <c r="BB10" s="305"/>
    </row>
    <row r="11" spans="1:54" ht="18.75" x14ac:dyDescent="0.25">
      <c r="A11" s="848" t="s">
        <v>316</v>
      </c>
      <c r="B11" s="698"/>
      <c r="C11" s="698"/>
      <c r="D11" s="698"/>
      <c r="E11" s="698"/>
      <c r="F11" s="849"/>
      <c r="G11" s="850" t="s">
        <v>317</v>
      </c>
      <c r="H11" s="698"/>
      <c r="I11" s="849"/>
      <c r="J11" s="853" t="s">
        <v>318</v>
      </c>
      <c r="K11" s="698"/>
      <c r="L11" s="714"/>
      <c r="M11" s="851" t="s">
        <v>319</v>
      </c>
      <c r="N11" s="698"/>
      <c r="O11" s="849"/>
      <c r="P11" s="853" t="s">
        <v>320</v>
      </c>
      <c r="Q11" s="698"/>
      <c r="R11" s="714"/>
      <c r="S11" s="851" t="s">
        <v>321</v>
      </c>
      <c r="T11" s="698"/>
      <c r="U11" s="849"/>
      <c r="V11" s="852" t="s">
        <v>322</v>
      </c>
      <c r="W11" s="698"/>
      <c r="X11" s="849"/>
      <c r="Y11" s="851" t="s">
        <v>323</v>
      </c>
      <c r="Z11" s="698"/>
      <c r="AA11" s="849"/>
      <c r="AB11" s="856" t="s">
        <v>324</v>
      </c>
      <c r="AC11" s="698"/>
      <c r="AD11" s="714"/>
      <c r="AE11" s="851" t="s">
        <v>325</v>
      </c>
      <c r="AF11" s="698"/>
      <c r="AG11" s="849"/>
      <c r="AH11" s="852" t="s">
        <v>204</v>
      </c>
      <c r="AI11" s="698"/>
      <c r="AJ11" s="849"/>
      <c r="AK11" s="851" t="s">
        <v>207</v>
      </c>
      <c r="AL11" s="698"/>
      <c r="AM11" s="849"/>
      <c r="AN11" s="852" t="s">
        <v>211</v>
      </c>
      <c r="AO11" s="698"/>
      <c r="AP11" s="849"/>
      <c r="AQ11" s="850" t="s">
        <v>372</v>
      </c>
      <c r="AR11" s="698"/>
      <c r="AS11" s="698"/>
      <c r="AT11" s="849"/>
      <c r="AU11" s="854" t="s">
        <v>373</v>
      </c>
      <c r="AV11" s="698"/>
      <c r="AW11" s="698"/>
      <c r="AX11" s="849"/>
      <c r="AY11" s="855" t="s">
        <v>374</v>
      </c>
      <c r="AZ11" s="698"/>
      <c r="BA11" s="698"/>
      <c r="BB11" s="849"/>
    </row>
    <row r="12" spans="1:54" ht="64.5" customHeight="1" x14ac:dyDescent="0.25">
      <c r="A12" s="101" t="s">
        <v>27</v>
      </c>
      <c r="B12" s="253" t="s">
        <v>212</v>
      </c>
      <c r="C12" s="254" t="s">
        <v>213</v>
      </c>
      <c r="D12" s="253" t="s">
        <v>214</v>
      </c>
      <c r="E12" s="254" t="s">
        <v>326</v>
      </c>
      <c r="F12" s="306" t="s">
        <v>216</v>
      </c>
      <c r="G12" s="307" t="s">
        <v>354</v>
      </c>
      <c r="H12" s="68" t="s">
        <v>208</v>
      </c>
      <c r="I12" s="68" t="s">
        <v>209</v>
      </c>
      <c r="J12" s="308" t="s">
        <v>355</v>
      </c>
      <c r="K12" s="309" t="s">
        <v>205</v>
      </c>
      <c r="L12" s="309" t="s">
        <v>206</v>
      </c>
      <c r="M12" s="310" t="s">
        <v>356</v>
      </c>
      <c r="N12" s="68" t="s">
        <v>208</v>
      </c>
      <c r="O12" s="68" t="s">
        <v>209</v>
      </c>
      <c r="P12" s="308" t="s">
        <v>357</v>
      </c>
      <c r="Q12" s="309" t="s">
        <v>205</v>
      </c>
      <c r="R12" s="309" t="s">
        <v>206</v>
      </c>
      <c r="S12" s="310" t="s">
        <v>358</v>
      </c>
      <c r="T12" s="68" t="s">
        <v>208</v>
      </c>
      <c r="U12" s="68" t="s">
        <v>209</v>
      </c>
      <c r="V12" s="308" t="s">
        <v>359</v>
      </c>
      <c r="W12" s="309" t="s">
        <v>205</v>
      </c>
      <c r="X12" s="309" t="s">
        <v>206</v>
      </c>
      <c r="Y12" s="310" t="s">
        <v>360</v>
      </c>
      <c r="Z12" s="68" t="s">
        <v>208</v>
      </c>
      <c r="AA12" s="68" t="s">
        <v>209</v>
      </c>
      <c r="AB12" s="69" t="s">
        <v>361</v>
      </c>
      <c r="AC12" s="309" t="s">
        <v>205</v>
      </c>
      <c r="AD12" s="309" t="s">
        <v>206</v>
      </c>
      <c r="AE12" s="311" t="s">
        <v>362</v>
      </c>
      <c r="AF12" s="73" t="s">
        <v>208</v>
      </c>
      <c r="AG12" s="68" t="s">
        <v>209</v>
      </c>
      <c r="AH12" s="69" t="s">
        <v>204</v>
      </c>
      <c r="AI12" s="70" t="s">
        <v>205</v>
      </c>
      <c r="AJ12" s="309" t="s">
        <v>206</v>
      </c>
      <c r="AK12" s="72" t="s">
        <v>207</v>
      </c>
      <c r="AL12" s="73" t="s">
        <v>208</v>
      </c>
      <c r="AM12" s="68" t="s">
        <v>209</v>
      </c>
      <c r="AN12" s="69" t="s">
        <v>210</v>
      </c>
      <c r="AO12" s="70" t="s">
        <v>205</v>
      </c>
      <c r="AP12" s="71" t="s">
        <v>206</v>
      </c>
      <c r="AQ12" s="312" t="s">
        <v>363</v>
      </c>
      <c r="AR12" s="313" t="s">
        <v>364</v>
      </c>
      <c r="AS12" s="73" t="s">
        <v>208</v>
      </c>
      <c r="AT12" s="314" t="s">
        <v>209</v>
      </c>
      <c r="AU12" s="315" t="s">
        <v>375</v>
      </c>
      <c r="AV12" s="316" t="s">
        <v>366</v>
      </c>
      <c r="AW12" s="317" t="s">
        <v>205</v>
      </c>
      <c r="AX12" s="318" t="s">
        <v>206</v>
      </c>
      <c r="AY12" s="319" t="s">
        <v>330</v>
      </c>
      <c r="AZ12" s="320" t="s">
        <v>331</v>
      </c>
      <c r="BA12" s="321" t="s">
        <v>332</v>
      </c>
      <c r="BB12" s="322" t="s">
        <v>333</v>
      </c>
    </row>
    <row r="13" spans="1:54" ht="39.75" customHeight="1" x14ac:dyDescent="0.25">
      <c r="A13" s="109">
        <f>ROW(' 4CLIENT ACTIVITY - DISCHARGES'!A1)</f>
        <v>1</v>
      </c>
      <c r="B13" s="110" t="e">
        <f>#REF!</f>
        <v>#REF!</v>
      </c>
      <c r="C13" s="111" t="e">
        <f>#REF!</f>
        <v>#REF!</v>
      </c>
      <c r="D13" s="112" t="e">
        <f>#REF!</f>
        <v>#REF!</v>
      </c>
      <c r="E13" s="113" t="e">
        <f>#REF!</f>
        <v>#REF!</v>
      </c>
      <c r="F13" s="323" t="s">
        <v>129</v>
      </c>
      <c r="G13" s="324" t="s">
        <v>376</v>
      </c>
      <c r="H13" s="80" t="s">
        <v>111</v>
      </c>
      <c r="I13" s="80" t="s">
        <v>377</v>
      </c>
      <c r="J13" s="81" t="s">
        <v>376</v>
      </c>
      <c r="K13" s="82" t="s">
        <v>111</v>
      </c>
      <c r="L13" s="82" t="s">
        <v>377</v>
      </c>
      <c r="M13" s="84" t="s">
        <v>376</v>
      </c>
      <c r="N13" s="80" t="s">
        <v>111</v>
      </c>
      <c r="O13" s="80" t="s">
        <v>377</v>
      </c>
      <c r="P13" s="81" t="s">
        <v>376</v>
      </c>
      <c r="Q13" s="82" t="s">
        <v>111</v>
      </c>
      <c r="R13" s="82" t="s">
        <v>377</v>
      </c>
      <c r="S13" s="84" t="s">
        <v>376</v>
      </c>
      <c r="T13" s="80" t="s">
        <v>111</v>
      </c>
      <c r="U13" s="80" t="s">
        <v>377</v>
      </c>
      <c r="V13" s="81" t="s">
        <v>376</v>
      </c>
      <c r="W13" s="82" t="s">
        <v>111</v>
      </c>
      <c r="X13" s="82" t="s">
        <v>377</v>
      </c>
      <c r="Y13" s="84" t="s">
        <v>376</v>
      </c>
      <c r="Z13" s="80" t="s">
        <v>111</v>
      </c>
      <c r="AA13" s="80" t="s">
        <v>377</v>
      </c>
      <c r="AB13" s="325" t="s">
        <v>376</v>
      </c>
      <c r="AC13" s="82" t="s">
        <v>111</v>
      </c>
      <c r="AD13" s="82" t="s">
        <v>377</v>
      </c>
      <c r="AE13" s="79" t="s">
        <v>376</v>
      </c>
      <c r="AF13" s="326" t="s">
        <v>111</v>
      </c>
      <c r="AG13" s="80" t="s">
        <v>377</v>
      </c>
      <c r="AH13" s="325" t="s">
        <v>376</v>
      </c>
      <c r="AI13" s="82" t="s">
        <v>111</v>
      </c>
      <c r="AJ13" s="82" t="s">
        <v>377</v>
      </c>
      <c r="AK13" s="327" t="s">
        <v>376</v>
      </c>
      <c r="AL13" s="326" t="s">
        <v>111</v>
      </c>
      <c r="AM13" s="80" t="s">
        <v>377</v>
      </c>
      <c r="AN13" s="81" t="s">
        <v>376</v>
      </c>
      <c r="AO13" s="82" t="s">
        <v>111</v>
      </c>
      <c r="AP13" s="120" t="s">
        <v>377</v>
      </c>
      <c r="AQ13" s="328" t="s">
        <v>376</v>
      </c>
      <c r="AR13" s="329" t="s">
        <v>12</v>
      </c>
      <c r="AS13" s="326" t="s">
        <v>111</v>
      </c>
      <c r="AT13" s="330" t="s">
        <v>377</v>
      </c>
      <c r="AU13" s="331" t="s">
        <v>376</v>
      </c>
      <c r="AV13" s="332" t="s">
        <v>12</v>
      </c>
      <c r="AW13" s="82" t="s">
        <v>111</v>
      </c>
      <c r="AX13" s="333" t="s">
        <v>377</v>
      </c>
      <c r="AY13" s="334" t="s">
        <v>129</v>
      </c>
      <c r="AZ13" s="269">
        <v>44077</v>
      </c>
      <c r="BA13" s="270" t="s">
        <v>335</v>
      </c>
      <c r="BB13" s="271" t="s">
        <v>12</v>
      </c>
    </row>
    <row r="14" spans="1:54" ht="39.75" customHeight="1" x14ac:dyDescent="0.25">
      <c r="A14" s="109">
        <f t="shared" ref="A14:A62" si="0">ROW(A2)</f>
        <v>2</v>
      </c>
      <c r="B14" s="110" t="e">
        <f>#REF!</f>
        <v>#REF!</v>
      </c>
      <c r="C14" s="111" t="e">
        <f>#REF!</f>
        <v>#REF!</v>
      </c>
      <c r="D14" s="112" t="e">
        <f>#REF!</f>
        <v>#REF!</v>
      </c>
      <c r="E14" s="113" t="e">
        <f>#REF!</f>
        <v>#REF!</v>
      </c>
      <c r="F14" s="323" t="s">
        <v>230</v>
      </c>
      <c r="G14" s="324" t="s">
        <v>378</v>
      </c>
      <c r="H14" s="80" t="s">
        <v>379</v>
      </c>
      <c r="I14" s="80" t="s">
        <v>380</v>
      </c>
      <c r="J14" s="81" t="s">
        <v>378</v>
      </c>
      <c r="K14" s="82" t="s">
        <v>379</v>
      </c>
      <c r="L14" s="82" t="s">
        <v>380</v>
      </c>
      <c r="M14" s="84" t="s">
        <v>378</v>
      </c>
      <c r="N14" s="80" t="s">
        <v>379</v>
      </c>
      <c r="O14" s="80" t="s">
        <v>380</v>
      </c>
      <c r="P14" s="81" t="s">
        <v>378</v>
      </c>
      <c r="Q14" s="82" t="s">
        <v>379</v>
      </c>
      <c r="R14" s="82" t="s">
        <v>380</v>
      </c>
      <c r="S14" s="84" t="s">
        <v>378</v>
      </c>
      <c r="T14" s="80" t="s">
        <v>379</v>
      </c>
      <c r="U14" s="80" t="s">
        <v>380</v>
      </c>
      <c r="V14" s="81" t="s">
        <v>378</v>
      </c>
      <c r="W14" s="82" t="s">
        <v>379</v>
      </c>
      <c r="X14" s="82" t="s">
        <v>380</v>
      </c>
      <c r="Y14" s="84" t="s">
        <v>378</v>
      </c>
      <c r="Z14" s="80" t="s">
        <v>379</v>
      </c>
      <c r="AA14" s="80" t="s">
        <v>380</v>
      </c>
      <c r="AB14" s="81" t="s">
        <v>378</v>
      </c>
      <c r="AC14" s="82" t="s">
        <v>379</v>
      </c>
      <c r="AD14" s="82" t="s">
        <v>380</v>
      </c>
      <c r="AE14" s="84" t="s">
        <v>378</v>
      </c>
      <c r="AF14" s="80" t="s">
        <v>379</v>
      </c>
      <c r="AG14" s="80" t="s">
        <v>380</v>
      </c>
      <c r="AH14" s="81" t="s">
        <v>378</v>
      </c>
      <c r="AI14" s="82" t="s">
        <v>379</v>
      </c>
      <c r="AJ14" s="82" t="s">
        <v>380</v>
      </c>
      <c r="AK14" s="327" t="s">
        <v>378</v>
      </c>
      <c r="AL14" s="80" t="s">
        <v>379</v>
      </c>
      <c r="AM14" s="80" t="s">
        <v>380</v>
      </c>
      <c r="AN14" s="81" t="s">
        <v>378</v>
      </c>
      <c r="AO14" s="82" t="s">
        <v>379</v>
      </c>
      <c r="AP14" s="120" t="s">
        <v>380</v>
      </c>
      <c r="AQ14" s="328" t="s">
        <v>378</v>
      </c>
      <c r="AR14" s="329" t="s">
        <v>12</v>
      </c>
      <c r="AS14" s="80" t="s">
        <v>379</v>
      </c>
      <c r="AT14" s="330" t="s">
        <v>380</v>
      </c>
      <c r="AU14" s="331" t="s">
        <v>378</v>
      </c>
      <c r="AV14" s="332" t="s">
        <v>12</v>
      </c>
      <c r="AW14" s="82" t="s">
        <v>379</v>
      </c>
      <c r="AX14" s="333" t="s">
        <v>380</v>
      </c>
      <c r="AY14" s="334" t="s">
        <v>230</v>
      </c>
      <c r="AZ14" s="269">
        <v>44107</v>
      </c>
      <c r="BA14" s="275" t="s">
        <v>342</v>
      </c>
      <c r="BB14" s="271" t="s">
        <v>12</v>
      </c>
    </row>
    <row r="15" spans="1:54" ht="39.75" customHeight="1" x14ac:dyDescent="0.25">
      <c r="A15" s="109">
        <f t="shared" si="0"/>
        <v>3</v>
      </c>
      <c r="B15" s="110" t="e">
        <f>#REF!</f>
        <v>#REF!</v>
      </c>
      <c r="C15" s="111" t="e">
        <f>#REF!</f>
        <v>#REF!</v>
      </c>
      <c r="D15" s="112" t="e">
        <f>#REF!</f>
        <v>#REF!</v>
      </c>
      <c r="E15" s="113" t="e">
        <f>#REF!</f>
        <v>#REF!</v>
      </c>
      <c r="F15" s="323" t="s">
        <v>129</v>
      </c>
      <c r="G15" s="324" t="s">
        <v>381</v>
      </c>
      <c r="H15" s="80" t="s">
        <v>382</v>
      </c>
      <c r="I15" s="80" t="s">
        <v>383</v>
      </c>
      <c r="J15" s="81" t="s">
        <v>381</v>
      </c>
      <c r="K15" s="82" t="s">
        <v>382</v>
      </c>
      <c r="L15" s="82" t="s">
        <v>383</v>
      </c>
      <c r="M15" s="84" t="s">
        <v>381</v>
      </c>
      <c r="N15" s="80" t="s">
        <v>382</v>
      </c>
      <c r="O15" s="80" t="s">
        <v>383</v>
      </c>
      <c r="P15" s="81" t="s">
        <v>381</v>
      </c>
      <c r="Q15" s="82" t="s">
        <v>382</v>
      </c>
      <c r="R15" s="82" t="s">
        <v>383</v>
      </c>
      <c r="S15" s="84" t="s">
        <v>381</v>
      </c>
      <c r="T15" s="80" t="s">
        <v>382</v>
      </c>
      <c r="U15" s="80" t="s">
        <v>383</v>
      </c>
      <c r="V15" s="81" t="s">
        <v>381</v>
      </c>
      <c r="W15" s="82" t="s">
        <v>382</v>
      </c>
      <c r="X15" s="82" t="s">
        <v>383</v>
      </c>
      <c r="Y15" s="84" t="s">
        <v>381</v>
      </c>
      <c r="Z15" s="80" t="s">
        <v>382</v>
      </c>
      <c r="AA15" s="80" t="s">
        <v>383</v>
      </c>
      <c r="AB15" s="81" t="s">
        <v>381</v>
      </c>
      <c r="AC15" s="82" t="s">
        <v>382</v>
      </c>
      <c r="AD15" s="82" t="s">
        <v>383</v>
      </c>
      <c r="AE15" s="84" t="s">
        <v>381</v>
      </c>
      <c r="AF15" s="80" t="s">
        <v>382</v>
      </c>
      <c r="AG15" s="80" t="s">
        <v>383</v>
      </c>
      <c r="AH15" s="81" t="s">
        <v>381</v>
      </c>
      <c r="AI15" s="82" t="s">
        <v>382</v>
      </c>
      <c r="AJ15" s="82" t="s">
        <v>383</v>
      </c>
      <c r="AK15" s="327" t="s">
        <v>381</v>
      </c>
      <c r="AL15" s="80" t="s">
        <v>382</v>
      </c>
      <c r="AM15" s="80" t="s">
        <v>383</v>
      </c>
      <c r="AN15" s="81" t="s">
        <v>381</v>
      </c>
      <c r="AO15" s="82" t="s">
        <v>382</v>
      </c>
      <c r="AP15" s="120" t="s">
        <v>383</v>
      </c>
      <c r="AQ15" s="328" t="s">
        <v>381</v>
      </c>
      <c r="AR15" s="329" t="s">
        <v>12</v>
      </c>
      <c r="AS15" s="80" t="s">
        <v>382</v>
      </c>
      <c r="AT15" s="330" t="s">
        <v>383</v>
      </c>
      <c r="AU15" s="331" t="s">
        <v>381</v>
      </c>
      <c r="AV15" s="332" t="s">
        <v>12</v>
      </c>
      <c r="AW15" s="82" t="s">
        <v>382</v>
      </c>
      <c r="AX15" s="333" t="s">
        <v>383</v>
      </c>
      <c r="AY15" s="334" t="s">
        <v>129</v>
      </c>
      <c r="AZ15" s="269">
        <v>44137</v>
      </c>
      <c r="BA15" s="275" t="s">
        <v>344</v>
      </c>
      <c r="BB15" s="271" t="s">
        <v>12</v>
      </c>
    </row>
    <row r="16" spans="1:54" ht="39.75" customHeight="1" x14ac:dyDescent="0.25">
      <c r="A16" s="109">
        <f t="shared" si="0"/>
        <v>4</v>
      </c>
      <c r="B16" s="110" t="e">
        <f>#REF!</f>
        <v>#REF!</v>
      </c>
      <c r="C16" s="111" t="e">
        <f>#REF!</f>
        <v>#REF!</v>
      </c>
      <c r="D16" s="112" t="e">
        <f>#REF!</f>
        <v>#REF!</v>
      </c>
      <c r="E16" s="113" t="e">
        <f>#REF!</f>
        <v>#REF!</v>
      </c>
      <c r="F16" s="323" t="s">
        <v>230</v>
      </c>
      <c r="G16" s="324" t="s">
        <v>376</v>
      </c>
      <c r="H16" s="80" t="s">
        <v>384</v>
      </c>
      <c r="I16" s="80" t="s">
        <v>385</v>
      </c>
      <c r="J16" s="81" t="s">
        <v>376</v>
      </c>
      <c r="K16" s="82" t="s">
        <v>384</v>
      </c>
      <c r="L16" s="82" t="s">
        <v>385</v>
      </c>
      <c r="M16" s="84" t="s">
        <v>376</v>
      </c>
      <c r="N16" s="80" t="s">
        <v>384</v>
      </c>
      <c r="O16" s="80" t="s">
        <v>385</v>
      </c>
      <c r="P16" s="81" t="s">
        <v>376</v>
      </c>
      <c r="Q16" s="82" t="s">
        <v>384</v>
      </c>
      <c r="R16" s="82" t="s">
        <v>385</v>
      </c>
      <c r="S16" s="84" t="s">
        <v>376</v>
      </c>
      <c r="T16" s="80" t="s">
        <v>384</v>
      </c>
      <c r="U16" s="80" t="s">
        <v>385</v>
      </c>
      <c r="V16" s="81" t="s">
        <v>376</v>
      </c>
      <c r="W16" s="82" t="s">
        <v>384</v>
      </c>
      <c r="X16" s="82" t="s">
        <v>385</v>
      </c>
      <c r="Y16" s="84" t="s">
        <v>376</v>
      </c>
      <c r="Z16" s="80" t="s">
        <v>384</v>
      </c>
      <c r="AA16" s="80" t="s">
        <v>385</v>
      </c>
      <c r="AB16" s="81" t="s">
        <v>376</v>
      </c>
      <c r="AC16" s="82" t="s">
        <v>384</v>
      </c>
      <c r="AD16" s="82" t="s">
        <v>385</v>
      </c>
      <c r="AE16" s="84" t="s">
        <v>376</v>
      </c>
      <c r="AF16" s="80" t="s">
        <v>384</v>
      </c>
      <c r="AG16" s="80" t="s">
        <v>385</v>
      </c>
      <c r="AH16" s="81" t="s">
        <v>376</v>
      </c>
      <c r="AI16" s="82" t="s">
        <v>384</v>
      </c>
      <c r="AJ16" s="82" t="s">
        <v>385</v>
      </c>
      <c r="AK16" s="327" t="s">
        <v>376</v>
      </c>
      <c r="AL16" s="80" t="s">
        <v>384</v>
      </c>
      <c r="AM16" s="80" t="s">
        <v>385</v>
      </c>
      <c r="AN16" s="81" t="s">
        <v>376</v>
      </c>
      <c r="AO16" s="82" t="s">
        <v>384</v>
      </c>
      <c r="AP16" s="120" t="s">
        <v>385</v>
      </c>
      <c r="AQ16" s="328" t="s">
        <v>376</v>
      </c>
      <c r="AR16" s="329" t="s">
        <v>12</v>
      </c>
      <c r="AS16" s="80" t="s">
        <v>384</v>
      </c>
      <c r="AT16" s="330" t="s">
        <v>385</v>
      </c>
      <c r="AU16" s="331" t="s">
        <v>376</v>
      </c>
      <c r="AV16" s="332" t="s">
        <v>12</v>
      </c>
      <c r="AW16" s="82" t="s">
        <v>384</v>
      </c>
      <c r="AX16" s="333" t="s">
        <v>385</v>
      </c>
      <c r="AY16" s="334" t="s">
        <v>230</v>
      </c>
      <c r="AZ16" s="269">
        <v>44170</v>
      </c>
      <c r="BA16" s="275" t="s">
        <v>346</v>
      </c>
      <c r="BB16" s="271" t="s">
        <v>12</v>
      </c>
    </row>
    <row r="17" spans="1:54" ht="39.75" customHeight="1" x14ac:dyDescent="0.25">
      <c r="A17" s="109">
        <f t="shared" si="0"/>
        <v>5</v>
      </c>
      <c r="B17" s="110" t="e">
        <f>#REF!</f>
        <v>#REF!</v>
      </c>
      <c r="C17" s="111" t="e">
        <f>#REF!</f>
        <v>#REF!</v>
      </c>
      <c r="D17" s="112" t="e">
        <f>#REF!</f>
        <v>#REF!</v>
      </c>
      <c r="E17" s="113" t="e">
        <f>#REF!</f>
        <v>#REF!</v>
      </c>
      <c r="F17" s="323" t="s">
        <v>129</v>
      </c>
      <c r="G17" s="324" t="s">
        <v>378</v>
      </c>
      <c r="H17" s="80" t="s">
        <v>111</v>
      </c>
      <c r="I17" s="80" t="s">
        <v>386</v>
      </c>
      <c r="J17" s="81" t="s">
        <v>378</v>
      </c>
      <c r="K17" s="82" t="s">
        <v>111</v>
      </c>
      <c r="L17" s="82" t="s">
        <v>386</v>
      </c>
      <c r="M17" s="84" t="s">
        <v>378</v>
      </c>
      <c r="N17" s="80" t="s">
        <v>111</v>
      </c>
      <c r="O17" s="80" t="s">
        <v>386</v>
      </c>
      <c r="P17" s="81" t="s">
        <v>378</v>
      </c>
      <c r="Q17" s="82" t="s">
        <v>111</v>
      </c>
      <c r="R17" s="82" t="s">
        <v>386</v>
      </c>
      <c r="S17" s="84" t="s">
        <v>378</v>
      </c>
      <c r="T17" s="80" t="s">
        <v>111</v>
      </c>
      <c r="U17" s="80" t="s">
        <v>386</v>
      </c>
      <c r="V17" s="81" t="s">
        <v>378</v>
      </c>
      <c r="W17" s="82" t="s">
        <v>111</v>
      </c>
      <c r="X17" s="82" t="s">
        <v>386</v>
      </c>
      <c r="Y17" s="84" t="s">
        <v>378</v>
      </c>
      <c r="Z17" s="80" t="s">
        <v>111</v>
      </c>
      <c r="AA17" s="80" t="s">
        <v>386</v>
      </c>
      <c r="AB17" s="81" t="s">
        <v>378</v>
      </c>
      <c r="AC17" s="82" t="s">
        <v>111</v>
      </c>
      <c r="AD17" s="82" t="s">
        <v>386</v>
      </c>
      <c r="AE17" s="84" t="s">
        <v>378</v>
      </c>
      <c r="AF17" s="80" t="s">
        <v>111</v>
      </c>
      <c r="AG17" s="80" t="s">
        <v>386</v>
      </c>
      <c r="AH17" s="81" t="s">
        <v>378</v>
      </c>
      <c r="AI17" s="82" t="s">
        <v>111</v>
      </c>
      <c r="AJ17" s="82" t="s">
        <v>386</v>
      </c>
      <c r="AK17" s="327" t="s">
        <v>378</v>
      </c>
      <c r="AL17" s="80" t="s">
        <v>111</v>
      </c>
      <c r="AM17" s="80" t="s">
        <v>386</v>
      </c>
      <c r="AN17" s="81" t="s">
        <v>378</v>
      </c>
      <c r="AO17" s="82" t="s">
        <v>111</v>
      </c>
      <c r="AP17" s="120" t="s">
        <v>386</v>
      </c>
      <c r="AQ17" s="328" t="s">
        <v>378</v>
      </c>
      <c r="AR17" s="329" t="s">
        <v>12</v>
      </c>
      <c r="AS17" s="80" t="s">
        <v>111</v>
      </c>
      <c r="AT17" s="330" t="s">
        <v>386</v>
      </c>
      <c r="AU17" s="331" t="s">
        <v>378</v>
      </c>
      <c r="AV17" s="332" t="s">
        <v>12</v>
      </c>
      <c r="AW17" s="82" t="s">
        <v>111</v>
      </c>
      <c r="AX17" s="333" t="s">
        <v>386</v>
      </c>
      <c r="AY17" s="334" t="s">
        <v>129</v>
      </c>
      <c r="AZ17" s="269">
        <v>44201</v>
      </c>
      <c r="BA17" s="270" t="s">
        <v>335</v>
      </c>
      <c r="BB17" s="271" t="s">
        <v>12</v>
      </c>
    </row>
    <row r="18" spans="1:54" ht="39.75" customHeight="1" x14ac:dyDescent="0.25">
      <c r="A18" s="109">
        <f t="shared" si="0"/>
        <v>6</v>
      </c>
      <c r="B18" s="110" t="e">
        <f>#REF!</f>
        <v>#REF!</v>
      </c>
      <c r="C18" s="111" t="e">
        <f>#REF!</f>
        <v>#REF!</v>
      </c>
      <c r="D18" s="112" t="e">
        <f>#REF!</f>
        <v>#REF!</v>
      </c>
      <c r="E18" s="113" t="e">
        <f>#REF!</f>
        <v>#REF!</v>
      </c>
      <c r="F18" s="323" t="s">
        <v>230</v>
      </c>
      <c r="G18" s="324" t="s">
        <v>381</v>
      </c>
      <c r="H18" s="80" t="s">
        <v>379</v>
      </c>
      <c r="I18" s="80" t="s">
        <v>377</v>
      </c>
      <c r="J18" s="81" t="s">
        <v>381</v>
      </c>
      <c r="K18" s="82" t="s">
        <v>379</v>
      </c>
      <c r="L18" s="82" t="s">
        <v>377</v>
      </c>
      <c r="M18" s="84" t="s">
        <v>381</v>
      </c>
      <c r="N18" s="80" t="s">
        <v>379</v>
      </c>
      <c r="O18" s="80" t="s">
        <v>377</v>
      </c>
      <c r="P18" s="81" t="s">
        <v>381</v>
      </c>
      <c r="Q18" s="82" t="s">
        <v>379</v>
      </c>
      <c r="R18" s="82" t="s">
        <v>377</v>
      </c>
      <c r="S18" s="84" t="s">
        <v>381</v>
      </c>
      <c r="T18" s="80" t="s">
        <v>379</v>
      </c>
      <c r="U18" s="80" t="s">
        <v>377</v>
      </c>
      <c r="V18" s="81" t="s">
        <v>381</v>
      </c>
      <c r="W18" s="82" t="s">
        <v>379</v>
      </c>
      <c r="X18" s="82" t="s">
        <v>377</v>
      </c>
      <c r="Y18" s="84" t="s">
        <v>381</v>
      </c>
      <c r="Z18" s="80" t="s">
        <v>379</v>
      </c>
      <c r="AA18" s="80" t="s">
        <v>377</v>
      </c>
      <c r="AB18" s="81" t="s">
        <v>381</v>
      </c>
      <c r="AC18" s="82" t="s">
        <v>379</v>
      </c>
      <c r="AD18" s="82" t="s">
        <v>377</v>
      </c>
      <c r="AE18" s="84" t="s">
        <v>381</v>
      </c>
      <c r="AF18" s="80" t="s">
        <v>379</v>
      </c>
      <c r="AG18" s="80" t="s">
        <v>377</v>
      </c>
      <c r="AH18" s="81" t="s">
        <v>381</v>
      </c>
      <c r="AI18" s="82" t="s">
        <v>379</v>
      </c>
      <c r="AJ18" s="82" t="s">
        <v>377</v>
      </c>
      <c r="AK18" s="327" t="s">
        <v>381</v>
      </c>
      <c r="AL18" s="80" t="s">
        <v>379</v>
      </c>
      <c r="AM18" s="80" t="s">
        <v>377</v>
      </c>
      <c r="AN18" s="81" t="s">
        <v>381</v>
      </c>
      <c r="AO18" s="82" t="s">
        <v>379</v>
      </c>
      <c r="AP18" s="120" t="s">
        <v>377</v>
      </c>
      <c r="AQ18" s="328" t="s">
        <v>381</v>
      </c>
      <c r="AR18" s="329" t="s">
        <v>12</v>
      </c>
      <c r="AS18" s="80" t="s">
        <v>379</v>
      </c>
      <c r="AT18" s="330" t="s">
        <v>377</v>
      </c>
      <c r="AU18" s="331" t="s">
        <v>381</v>
      </c>
      <c r="AV18" s="332" t="s">
        <v>12</v>
      </c>
      <c r="AW18" s="82" t="s">
        <v>379</v>
      </c>
      <c r="AX18" s="333" t="s">
        <v>377</v>
      </c>
      <c r="AY18" s="334" t="s">
        <v>230</v>
      </c>
      <c r="AZ18" s="269">
        <v>44230</v>
      </c>
      <c r="BA18" s="275" t="s">
        <v>342</v>
      </c>
      <c r="BB18" s="271" t="s">
        <v>12</v>
      </c>
    </row>
    <row r="19" spans="1:54" ht="39.75" customHeight="1" x14ac:dyDescent="0.25">
      <c r="A19" s="109">
        <f t="shared" si="0"/>
        <v>7</v>
      </c>
      <c r="B19" s="110" t="e">
        <f>#REF!</f>
        <v>#REF!</v>
      </c>
      <c r="C19" s="111" t="e">
        <f>#REF!</f>
        <v>#REF!</v>
      </c>
      <c r="D19" s="112" t="e">
        <f>#REF!</f>
        <v>#REF!</v>
      </c>
      <c r="E19" s="113" t="e">
        <f>#REF!</f>
        <v>#REF!</v>
      </c>
      <c r="F19" s="323" t="s">
        <v>129</v>
      </c>
      <c r="G19" s="324" t="s">
        <v>376</v>
      </c>
      <c r="H19" s="80" t="s">
        <v>382</v>
      </c>
      <c r="I19" s="80" t="s">
        <v>380</v>
      </c>
      <c r="J19" s="81" t="s">
        <v>376</v>
      </c>
      <c r="K19" s="82" t="s">
        <v>382</v>
      </c>
      <c r="L19" s="82" t="s">
        <v>380</v>
      </c>
      <c r="M19" s="84" t="s">
        <v>376</v>
      </c>
      <c r="N19" s="80" t="s">
        <v>382</v>
      </c>
      <c r="O19" s="80" t="s">
        <v>380</v>
      </c>
      <c r="P19" s="81" t="s">
        <v>376</v>
      </c>
      <c r="Q19" s="82" t="s">
        <v>382</v>
      </c>
      <c r="R19" s="82" t="s">
        <v>380</v>
      </c>
      <c r="S19" s="84" t="s">
        <v>376</v>
      </c>
      <c r="T19" s="80" t="s">
        <v>382</v>
      </c>
      <c r="U19" s="80" t="s">
        <v>380</v>
      </c>
      <c r="V19" s="81" t="s">
        <v>376</v>
      </c>
      <c r="W19" s="82" t="s">
        <v>382</v>
      </c>
      <c r="X19" s="82" t="s">
        <v>380</v>
      </c>
      <c r="Y19" s="84" t="s">
        <v>376</v>
      </c>
      <c r="Z19" s="80" t="s">
        <v>382</v>
      </c>
      <c r="AA19" s="80" t="s">
        <v>380</v>
      </c>
      <c r="AB19" s="81" t="s">
        <v>376</v>
      </c>
      <c r="AC19" s="82" t="s">
        <v>382</v>
      </c>
      <c r="AD19" s="82" t="s">
        <v>380</v>
      </c>
      <c r="AE19" s="84" t="s">
        <v>376</v>
      </c>
      <c r="AF19" s="80" t="s">
        <v>382</v>
      </c>
      <c r="AG19" s="80" t="s">
        <v>380</v>
      </c>
      <c r="AH19" s="81" t="s">
        <v>376</v>
      </c>
      <c r="AI19" s="82" t="s">
        <v>382</v>
      </c>
      <c r="AJ19" s="82" t="s">
        <v>380</v>
      </c>
      <c r="AK19" s="327" t="s">
        <v>376</v>
      </c>
      <c r="AL19" s="80" t="s">
        <v>382</v>
      </c>
      <c r="AM19" s="80" t="s">
        <v>380</v>
      </c>
      <c r="AN19" s="81" t="s">
        <v>376</v>
      </c>
      <c r="AO19" s="82" t="s">
        <v>382</v>
      </c>
      <c r="AP19" s="120" t="s">
        <v>380</v>
      </c>
      <c r="AQ19" s="328" t="s">
        <v>376</v>
      </c>
      <c r="AR19" s="329" t="s">
        <v>12</v>
      </c>
      <c r="AS19" s="80" t="s">
        <v>382</v>
      </c>
      <c r="AT19" s="330" t="s">
        <v>380</v>
      </c>
      <c r="AU19" s="331" t="s">
        <v>376</v>
      </c>
      <c r="AV19" s="332" t="s">
        <v>12</v>
      </c>
      <c r="AW19" s="82" t="s">
        <v>382</v>
      </c>
      <c r="AX19" s="333" t="s">
        <v>380</v>
      </c>
      <c r="AY19" s="334" t="s">
        <v>129</v>
      </c>
      <c r="AZ19" s="269">
        <v>44259</v>
      </c>
      <c r="BA19" s="275" t="s">
        <v>344</v>
      </c>
      <c r="BB19" s="271" t="s">
        <v>12</v>
      </c>
    </row>
    <row r="20" spans="1:54" ht="39.75" customHeight="1" x14ac:dyDescent="0.25">
      <c r="A20" s="109">
        <f t="shared" si="0"/>
        <v>8</v>
      </c>
      <c r="B20" s="110" t="e">
        <f>#REF!</f>
        <v>#REF!</v>
      </c>
      <c r="C20" s="111" t="e">
        <f>#REF!</f>
        <v>#REF!</v>
      </c>
      <c r="D20" s="112" t="e">
        <f>#REF!</f>
        <v>#REF!</v>
      </c>
      <c r="E20" s="113" t="e">
        <f>#REF!</f>
        <v>#REF!</v>
      </c>
      <c r="F20" s="323" t="s">
        <v>230</v>
      </c>
      <c r="G20" s="324" t="s">
        <v>378</v>
      </c>
      <c r="H20" s="80" t="s">
        <v>384</v>
      </c>
      <c r="I20" s="80" t="s">
        <v>383</v>
      </c>
      <c r="J20" s="81" t="s">
        <v>378</v>
      </c>
      <c r="K20" s="82" t="s">
        <v>384</v>
      </c>
      <c r="L20" s="82" t="s">
        <v>383</v>
      </c>
      <c r="M20" s="84" t="s">
        <v>378</v>
      </c>
      <c r="N20" s="80" t="s">
        <v>384</v>
      </c>
      <c r="O20" s="80" t="s">
        <v>383</v>
      </c>
      <c r="P20" s="81" t="s">
        <v>378</v>
      </c>
      <c r="Q20" s="82" t="s">
        <v>384</v>
      </c>
      <c r="R20" s="82" t="s">
        <v>383</v>
      </c>
      <c r="S20" s="84" t="s">
        <v>378</v>
      </c>
      <c r="T20" s="80" t="s">
        <v>384</v>
      </c>
      <c r="U20" s="80" t="s">
        <v>383</v>
      </c>
      <c r="V20" s="81" t="s">
        <v>378</v>
      </c>
      <c r="W20" s="82" t="s">
        <v>384</v>
      </c>
      <c r="X20" s="82" t="s">
        <v>383</v>
      </c>
      <c r="Y20" s="84" t="s">
        <v>378</v>
      </c>
      <c r="Z20" s="80" t="s">
        <v>384</v>
      </c>
      <c r="AA20" s="80" t="s">
        <v>383</v>
      </c>
      <c r="AB20" s="81" t="s">
        <v>378</v>
      </c>
      <c r="AC20" s="82" t="s">
        <v>384</v>
      </c>
      <c r="AD20" s="82" t="s">
        <v>383</v>
      </c>
      <c r="AE20" s="84" t="s">
        <v>378</v>
      </c>
      <c r="AF20" s="80" t="s">
        <v>384</v>
      </c>
      <c r="AG20" s="80" t="s">
        <v>383</v>
      </c>
      <c r="AH20" s="81" t="s">
        <v>378</v>
      </c>
      <c r="AI20" s="82" t="s">
        <v>384</v>
      </c>
      <c r="AJ20" s="82" t="s">
        <v>383</v>
      </c>
      <c r="AK20" s="327" t="s">
        <v>378</v>
      </c>
      <c r="AL20" s="80" t="s">
        <v>384</v>
      </c>
      <c r="AM20" s="80" t="s">
        <v>383</v>
      </c>
      <c r="AN20" s="81" t="s">
        <v>378</v>
      </c>
      <c r="AO20" s="82" t="s">
        <v>384</v>
      </c>
      <c r="AP20" s="120" t="s">
        <v>383</v>
      </c>
      <c r="AQ20" s="328" t="s">
        <v>378</v>
      </c>
      <c r="AR20" s="329" t="s">
        <v>12</v>
      </c>
      <c r="AS20" s="80" t="s">
        <v>384</v>
      </c>
      <c r="AT20" s="330" t="s">
        <v>383</v>
      </c>
      <c r="AU20" s="331" t="s">
        <v>378</v>
      </c>
      <c r="AV20" s="332" t="s">
        <v>12</v>
      </c>
      <c r="AW20" s="82" t="s">
        <v>384</v>
      </c>
      <c r="AX20" s="333" t="s">
        <v>383</v>
      </c>
      <c r="AY20" s="334" t="s">
        <v>230</v>
      </c>
      <c r="AZ20" s="269">
        <v>44291</v>
      </c>
      <c r="BA20" s="275" t="s">
        <v>346</v>
      </c>
      <c r="BB20" s="271" t="s">
        <v>12</v>
      </c>
    </row>
    <row r="21" spans="1:54" ht="39.75" customHeight="1" x14ac:dyDescent="0.25">
      <c r="A21" s="109">
        <f t="shared" si="0"/>
        <v>9</v>
      </c>
      <c r="B21" s="110" t="e">
        <f>#REF!</f>
        <v>#REF!</v>
      </c>
      <c r="C21" s="111" t="e">
        <f>#REF!</f>
        <v>#REF!</v>
      </c>
      <c r="D21" s="112" t="e">
        <f>#REF!</f>
        <v>#REF!</v>
      </c>
      <c r="E21" s="113" t="e">
        <f>#REF!</f>
        <v>#REF!</v>
      </c>
      <c r="F21" s="323" t="s">
        <v>129</v>
      </c>
      <c r="G21" s="324" t="s">
        <v>381</v>
      </c>
      <c r="H21" s="80" t="s">
        <v>111</v>
      </c>
      <c r="I21" s="80" t="s">
        <v>385</v>
      </c>
      <c r="J21" s="81" t="s">
        <v>381</v>
      </c>
      <c r="K21" s="82" t="s">
        <v>111</v>
      </c>
      <c r="L21" s="82" t="s">
        <v>385</v>
      </c>
      <c r="M21" s="84" t="s">
        <v>381</v>
      </c>
      <c r="N21" s="80" t="s">
        <v>111</v>
      </c>
      <c r="O21" s="80" t="s">
        <v>385</v>
      </c>
      <c r="P21" s="81" t="s">
        <v>381</v>
      </c>
      <c r="Q21" s="82" t="s">
        <v>111</v>
      </c>
      <c r="R21" s="82" t="s">
        <v>385</v>
      </c>
      <c r="S21" s="84" t="s">
        <v>381</v>
      </c>
      <c r="T21" s="80" t="s">
        <v>111</v>
      </c>
      <c r="U21" s="80" t="s">
        <v>385</v>
      </c>
      <c r="V21" s="81" t="s">
        <v>381</v>
      </c>
      <c r="W21" s="82" t="s">
        <v>111</v>
      </c>
      <c r="X21" s="82" t="s">
        <v>385</v>
      </c>
      <c r="Y21" s="84" t="s">
        <v>381</v>
      </c>
      <c r="Z21" s="80" t="s">
        <v>111</v>
      </c>
      <c r="AA21" s="80" t="s">
        <v>385</v>
      </c>
      <c r="AB21" s="81" t="s">
        <v>381</v>
      </c>
      <c r="AC21" s="82" t="s">
        <v>111</v>
      </c>
      <c r="AD21" s="82" t="s">
        <v>385</v>
      </c>
      <c r="AE21" s="84" t="s">
        <v>381</v>
      </c>
      <c r="AF21" s="80" t="s">
        <v>111</v>
      </c>
      <c r="AG21" s="80" t="s">
        <v>385</v>
      </c>
      <c r="AH21" s="81" t="s">
        <v>381</v>
      </c>
      <c r="AI21" s="82" t="s">
        <v>111</v>
      </c>
      <c r="AJ21" s="82" t="s">
        <v>385</v>
      </c>
      <c r="AK21" s="327" t="s">
        <v>381</v>
      </c>
      <c r="AL21" s="80" t="s">
        <v>111</v>
      </c>
      <c r="AM21" s="80" t="s">
        <v>385</v>
      </c>
      <c r="AN21" s="81" t="s">
        <v>381</v>
      </c>
      <c r="AO21" s="82" t="s">
        <v>111</v>
      </c>
      <c r="AP21" s="120" t="s">
        <v>385</v>
      </c>
      <c r="AQ21" s="328" t="s">
        <v>381</v>
      </c>
      <c r="AR21" s="329" t="s">
        <v>12</v>
      </c>
      <c r="AS21" s="80" t="s">
        <v>111</v>
      </c>
      <c r="AT21" s="330" t="s">
        <v>385</v>
      </c>
      <c r="AU21" s="331" t="s">
        <v>381</v>
      </c>
      <c r="AV21" s="332" t="s">
        <v>12</v>
      </c>
      <c r="AW21" s="82" t="s">
        <v>111</v>
      </c>
      <c r="AX21" s="333" t="s">
        <v>385</v>
      </c>
      <c r="AY21" s="334" t="s">
        <v>129</v>
      </c>
      <c r="AZ21" s="269">
        <v>44319</v>
      </c>
      <c r="BA21" s="270" t="s">
        <v>335</v>
      </c>
      <c r="BB21" s="271" t="s">
        <v>12</v>
      </c>
    </row>
    <row r="22" spans="1:54" ht="39.75" customHeight="1" x14ac:dyDescent="0.25">
      <c r="A22" s="109">
        <f t="shared" si="0"/>
        <v>10</v>
      </c>
      <c r="B22" s="110" t="e">
        <f>#REF!</f>
        <v>#REF!</v>
      </c>
      <c r="C22" s="111" t="e">
        <f>#REF!</f>
        <v>#REF!</v>
      </c>
      <c r="D22" s="112" t="e">
        <f>#REF!</f>
        <v>#REF!</v>
      </c>
      <c r="E22" s="113" t="e">
        <f>#REF!</f>
        <v>#REF!</v>
      </c>
      <c r="F22" s="323" t="s">
        <v>230</v>
      </c>
      <c r="G22" s="335" t="s">
        <v>376</v>
      </c>
      <c r="H22" s="80" t="s">
        <v>379</v>
      </c>
      <c r="I22" s="80" t="s">
        <v>386</v>
      </c>
      <c r="J22" s="86" t="s">
        <v>376</v>
      </c>
      <c r="K22" s="82" t="s">
        <v>379</v>
      </c>
      <c r="L22" s="82" t="s">
        <v>386</v>
      </c>
      <c r="M22" s="85" t="s">
        <v>376</v>
      </c>
      <c r="N22" s="80" t="s">
        <v>379</v>
      </c>
      <c r="O22" s="80" t="s">
        <v>386</v>
      </c>
      <c r="P22" s="86" t="s">
        <v>376</v>
      </c>
      <c r="Q22" s="82" t="s">
        <v>379</v>
      </c>
      <c r="R22" s="82" t="s">
        <v>386</v>
      </c>
      <c r="S22" s="85" t="s">
        <v>376</v>
      </c>
      <c r="T22" s="80" t="s">
        <v>379</v>
      </c>
      <c r="U22" s="80" t="s">
        <v>386</v>
      </c>
      <c r="V22" s="86" t="s">
        <v>376</v>
      </c>
      <c r="W22" s="82" t="s">
        <v>379</v>
      </c>
      <c r="X22" s="82" t="s">
        <v>386</v>
      </c>
      <c r="Y22" s="85" t="s">
        <v>376</v>
      </c>
      <c r="Z22" s="80" t="s">
        <v>379</v>
      </c>
      <c r="AA22" s="80" t="s">
        <v>386</v>
      </c>
      <c r="AB22" s="86" t="s">
        <v>376</v>
      </c>
      <c r="AC22" s="82" t="s">
        <v>379</v>
      </c>
      <c r="AD22" s="82" t="s">
        <v>386</v>
      </c>
      <c r="AE22" s="85" t="s">
        <v>376</v>
      </c>
      <c r="AF22" s="80" t="s">
        <v>379</v>
      </c>
      <c r="AG22" s="80" t="s">
        <v>386</v>
      </c>
      <c r="AH22" s="86" t="s">
        <v>376</v>
      </c>
      <c r="AI22" s="82" t="s">
        <v>379</v>
      </c>
      <c r="AJ22" s="82" t="s">
        <v>386</v>
      </c>
      <c r="AK22" s="336" t="s">
        <v>376</v>
      </c>
      <c r="AL22" s="80" t="s">
        <v>379</v>
      </c>
      <c r="AM22" s="80" t="s">
        <v>386</v>
      </c>
      <c r="AN22" s="86" t="s">
        <v>376</v>
      </c>
      <c r="AO22" s="82" t="s">
        <v>379</v>
      </c>
      <c r="AP22" s="120" t="s">
        <v>386</v>
      </c>
      <c r="AQ22" s="337" t="s">
        <v>376</v>
      </c>
      <c r="AR22" s="329" t="s">
        <v>12</v>
      </c>
      <c r="AS22" s="80" t="s">
        <v>379</v>
      </c>
      <c r="AT22" s="330" t="s">
        <v>386</v>
      </c>
      <c r="AU22" s="338" t="s">
        <v>376</v>
      </c>
      <c r="AV22" s="332" t="s">
        <v>12</v>
      </c>
      <c r="AW22" s="82" t="s">
        <v>379</v>
      </c>
      <c r="AX22" s="333" t="s">
        <v>386</v>
      </c>
      <c r="AY22" s="334" t="s">
        <v>230</v>
      </c>
      <c r="AZ22" s="269">
        <v>44351</v>
      </c>
      <c r="BA22" s="275" t="s">
        <v>342</v>
      </c>
      <c r="BB22" s="271" t="s">
        <v>12</v>
      </c>
    </row>
    <row r="23" spans="1:54" ht="39.75" customHeight="1" x14ac:dyDescent="0.25">
      <c r="A23" s="109">
        <f t="shared" si="0"/>
        <v>11</v>
      </c>
      <c r="B23" s="110" t="e">
        <f>#REF!</f>
        <v>#REF!</v>
      </c>
      <c r="C23" s="111" t="e">
        <f>#REF!</f>
        <v>#REF!</v>
      </c>
      <c r="D23" s="112" t="e">
        <f>#REF!</f>
        <v>#REF!</v>
      </c>
      <c r="E23" s="113" t="e">
        <f>#REF!</f>
        <v>#REF!</v>
      </c>
      <c r="F23" s="323" t="s">
        <v>129</v>
      </c>
      <c r="G23" s="324" t="s">
        <v>376</v>
      </c>
      <c r="H23" s="80" t="s">
        <v>382</v>
      </c>
      <c r="I23" s="80" t="s">
        <v>377</v>
      </c>
      <c r="J23" s="81" t="s">
        <v>376</v>
      </c>
      <c r="K23" s="82" t="s">
        <v>382</v>
      </c>
      <c r="L23" s="82" t="s">
        <v>377</v>
      </c>
      <c r="M23" s="84" t="s">
        <v>376</v>
      </c>
      <c r="N23" s="80" t="s">
        <v>382</v>
      </c>
      <c r="O23" s="80" t="s">
        <v>377</v>
      </c>
      <c r="P23" s="81" t="s">
        <v>376</v>
      </c>
      <c r="Q23" s="82" t="s">
        <v>382</v>
      </c>
      <c r="R23" s="82" t="s">
        <v>377</v>
      </c>
      <c r="S23" s="84" t="s">
        <v>376</v>
      </c>
      <c r="T23" s="80" t="s">
        <v>382</v>
      </c>
      <c r="U23" s="80" t="s">
        <v>377</v>
      </c>
      <c r="V23" s="81" t="s">
        <v>376</v>
      </c>
      <c r="W23" s="82" t="s">
        <v>382</v>
      </c>
      <c r="X23" s="82" t="s">
        <v>377</v>
      </c>
      <c r="Y23" s="84" t="s">
        <v>376</v>
      </c>
      <c r="Z23" s="80" t="s">
        <v>382</v>
      </c>
      <c r="AA23" s="80" t="s">
        <v>377</v>
      </c>
      <c r="AB23" s="81" t="s">
        <v>376</v>
      </c>
      <c r="AC23" s="82" t="s">
        <v>382</v>
      </c>
      <c r="AD23" s="82" t="s">
        <v>377</v>
      </c>
      <c r="AE23" s="84" t="s">
        <v>376</v>
      </c>
      <c r="AF23" s="80" t="s">
        <v>382</v>
      </c>
      <c r="AG23" s="80" t="s">
        <v>377</v>
      </c>
      <c r="AH23" s="81" t="s">
        <v>376</v>
      </c>
      <c r="AI23" s="82" t="s">
        <v>382</v>
      </c>
      <c r="AJ23" s="82" t="s">
        <v>377</v>
      </c>
      <c r="AK23" s="327" t="s">
        <v>376</v>
      </c>
      <c r="AL23" s="80" t="s">
        <v>382</v>
      </c>
      <c r="AM23" s="80" t="s">
        <v>377</v>
      </c>
      <c r="AN23" s="81" t="s">
        <v>376</v>
      </c>
      <c r="AO23" s="82" t="s">
        <v>382</v>
      </c>
      <c r="AP23" s="120" t="s">
        <v>377</v>
      </c>
      <c r="AQ23" s="328" t="s">
        <v>376</v>
      </c>
      <c r="AR23" s="329" t="s">
        <v>12</v>
      </c>
      <c r="AS23" s="80" t="s">
        <v>382</v>
      </c>
      <c r="AT23" s="330" t="s">
        <v>377</v>
      </c>
      <c r="AU23" s="331" t="s">
        <v>376</v>
      </c>
      <c r="AV23" s="332" t="s">
        <v>12</v>
      </c>
      <c r="AW23" s="82" t="s">
        <v>382</v>
      </c>
      <c r="AX23" s="333" t="s">
        <v>377</v>
      </c>
      <c r="AY23" s="334" t="s">
        <v>129</v>
      </c>
      <c r="AZ23" s="269">
        <v>44379</v>
      </c>
      <c r="BA23" s="270" t="s">
        <v>335</v>
      </c>
      <c r="BB23" s="276"/>
    </row>
    <row r="24" spans="1:54" ht="39.75" customHeight="1" x14ac:dyDescent="0.25">
      <c r="A24" s="109">
        <f t="shared" si="0"/>
        <v>12</v>
      </c>
      <c r="B24" s="110" t="e">
        <f>#REF!</f>
        <v>#REF!</v>
      </c>
      <c r="C24" s="111" t="e">
        <f>#REF!</f>
        <v>#REF!</v>
      </c>
      <c r="D24" s="112" t="e">
        <f>#REF!</f>
        <v>#REF!</v>
      </c>
      <c r="E24" s="113" t="e">
        <f>#REF!</f>
        <v>#REF!</v>
      </c>
      <c r="F24" s="323" t="s">
        <v>230</v>
      </c>
      <c r="G24" s="324" t="s">
        <v>378</v>
      </c>
      <c r="H24" s="80" t="s">
        <v>384</v>
      </c>
      <c r="I24" s="80" t="s">
        <v>380</v>
      </c>
      <c r="J24" s="81" t="s">
        <v>378</v>
      </c>
      <c r="K24" s="82" t="s">
        <v>384</v>
      </c>
      <c r="L24" s="82" t="s">
        <v>380</v>
      </c>
      <c r="M24" s="84" t="s">
        <v>378</v>
      </c>
      <c r="N24" s="80" t="s">
        <v>384</v>
      </c>
      <c r="O24" s="80" t="s">
        <v>380</v>
      </c>
      <c r="P24" s="81" t="s">
        <v>378</v>
      </c>
      <c r="Q24" s="82" t="s">
        <v>384</v>
      </c>
      <c r="R24" s="82" t="s">
        <v>380</v>
      </c>
      <c r="S24" s="84" t="s">
        <v>378</v>
      </c>
      <c r="T24" s="80" t="s">
        <v>384</v>
      </c>
      <c r="U24" s="80" t="s">
        <v>380</v>
      </c>
      <c r="V24" s="81" t="s">
        <v>378</v>
      </c>
      <c r="W24" s="82" t="s">
        <v>384</v>
      </c>
      <c r="X24" s="82" t="s">
        <v>380</v>
      </c>
      <c r="Y24" s="84" t="s">
        <v>378</v>
      </c>
      <c r="Z24" s="80" t="s">
        <v>384</v>
      </c>
      <c r="AA24" s="80" t="s">
        <v>380</v>
      </c>
      <c r="AB24" s="81" t="s">
        <v>378</v>
      </c>
      <c r="AC24" s="82" t="s">
        <v>384</v>
      </c>
      <c r="AD24" s="82" t="s">
        <v>380</v>
      </c>
      <c r="AE24" s="84" t="s">
        <v>378</v>
      </c>
      <c r="AF24" s="80" t="s">
        <v>384</v>
      </c>
      <c r="AG24" s="80" t="s">
        <v>380</v>
      </c>
      <c r="AH24" s="81" t="s">
        <v>378</v>
      </c>
      <c r="AI24" s="82" t="s">
        <v>384</v>
      </c>
      <c r="AJ24" s="82" t="s">
        <v>380</v>
      </c>
      <c r="AK24" s="327" t="s">
        <v>378</v>
      </c>
      <c r="AL24" s="80" t="s">
        <v>384</v>
      </c>
      <c r="AM24" s="80" t="s">
        <v>380</v>
      </c>
      <c r="AN24" s="81" t="s">
        <v>378</v>
      </c>
      <c r="AO24" s="82" t="s">
        <v>384</v>
      </c>
      <c r="AP24" s="120" t="s">
        <v>380</v>
      </c>
      <c r="AQ24" s="328" t="s">
        <v>378</v>
      </c>
      <c r="AR24" s="329" t="s">
        <v>12</v>
      </c>
      <c r="AS24" s="80" t="s">
        <v>384</v>
      </c>
      <c r="AT24" s="330" t="s">
        <v>380</v>
      </c>
      <c r="AU24" s="331" t="s">
        <v>378</v>
      </c>
      <c r="AV24" s="332" t="s">
        <v>12</v>
      </c>
      <c r="AW24" s="82" t="s">
        <v>384</v>
      </c>
      <c r="AX24" s="333" t="s">
        <v>380</v>
      </c>
      <c r="AY24" s="334" t="s">
        <v>230</v>
      </c>
      <c r="AZ24" s="269">
        <v>44412</v>
      </c>
      <c r="BA24" s="275" t="s">
        <v>342</v>
      </c>
      <c r="BB24" s="276"/>
    </row>
    <row r="25" spans="1:54" ht="39.75" customHeight="1" x14ac:dyDescent="0.25">
      <c r="A25" s="109">
        <f t="shared" si="0"/>
        <v>13</v>
      </c>
      <c r="B25" s="110" t="e">
        <f>#REF!</f>
        <v>#REF!</v>
      </c>
      <c r="C25" s="111" t="e">
        <f>#REF!</f>
        <v>#REF!</v>
      </c>
      <c r="D25" s="112" t="e">
        <f>#REF!</f>
        <v>#REF!</v>
      </c>
      <c r="E25" s="113" t="e">
        <f>#REF!</f>
        <v>#REF!</v>
      </c>
      <c r="F25" s="323" t="s">
        <v>129</v>
      </c>
      <c r="G25" s="324" t="s">
        <v>381</v>
      </c>
      <c r="H25" s="80" t="s">
        <v>111</v>
      </c>
      <c r="I25" s="80" t="s">
        <v>383</v>
      </c>
      <c r="J25" s="81" t="s">
        <v>381</v>
      </c>
      <c r="K25" s="82" t="s">
        <v>111</v>
      </c>
      <c r="L25" s="82" t="s">
        <v>383</v>
      </c>
      <c r="M25" s="84" t="s">
        <v>381</v>
      </c>
      <c r="N25" s="80" t="s">
        <v>111</v>
      </c>
      <c r="O25" s="80" t="s">
        <v>383</v>
      </c>
      <c r="P25" s="81" t="s">
        <v>381</v>
      </c>
      <c r="Q25" s="82" t="s">
        <v>111</v>
      </c>
      <c r="R25" s="82" t="s">
        <v>383</v>
      </c>
      <c r="S25" s="84" t="s">
        <v>381</v>
      </c>
      <c r="T25" s="80" t="s">
        <v>111</v>
      </c>
      <c r="U25" s="80" t="s">
        <v>383</v>
      </c>
      <c r="V25" s="81" t="s">
        <v>381</v>
      </c>
      <c r="W25" s="82" t="s">
        <v>111</v>
      </c>
      <c r="X25" s="82" t="s">
        <v>383</v>
      </c>
      <c r="Y25" s="84" t="s">
        <v>381</v>
      </c>
      <c r="Z25" s="80" t="s">
        <v>111</v>
      </c>
      <c r="AA25" s="80" t="s">
        <v>383</v>
      </c>
      <c r="AB25" s="81" t="s">
        <v>381</v>
      </c>
      <c r="AC25" s="82" t="s">
        <v>111</v>
      </c>
      <c r="AD25" s="82" t="s">
        <v>383</v>
      </c>
      <c r="AE25" s="84" t="s">
        <v>381</v>
      </c>
      <c r="AF25" s="80" t="s">
        <v>111</v>
      </c>
      <c r="AG25" s="80" t="s">
        <v>383</v>
      </c>
      <c r="AH25" s="81" t="s">
        <v>381</v>
      </c>
      <c r="AI25" s="82" t="s">
        <v>111</v>
      </c>
      <c r="AJ25" s="82" t="s">
        <v>383</v>
      </c>
      <c r="AK25" s="327" t="s">
        <v>381</v>
      </c>
      <c r="AL25" s="80" t="s">
        <v>111</v>
      </c>
      <c r="AM25" s="80" t="s">
        <v>383</v>
      </c>
      <c r="AN25" s="81" t="s">
        <v>381</v>
      </c>
      <c r="AO25" s="82" t="s">
        <v>111</v>
      </c>
      <c r="AP25" s="120" t="s">
        <v>383</v>
      </c>
      <c r="AQ25" s="328" t="s">
        <v>381</v>
      </c>
      <c r="AR25" s="329" t="s">
        <v>12</v>
      </c>
      <c r="AS25" s="80" t="s">
        <v>111</v>
      </c>
      <c r="AT25" s="330" t="s">
        <v>383</v>
      </c>
      <c r="AU25" s="331" t="s">
        <v>381</v>
      </c>
      <c r="AV25" s="332" t="s">
        <v>12</v>
      </c>
      <c r="AW25" s="82" t="s">
        <v>111</v>
      </c>
      <c r="AX25" s="333" t="s">
        <v>383</v>
      </c>
      <c r="AY25" s="334" t="s">
        <v>129</v>
      </c>
      <c r="AZ25" s="269">
        <v>44077</v>
      </c>
      <c r="BA25" s="275" t="s">
        <v>344</v>
      </c>
      <c r="BB25" s="276"/>
    </row>
    <row r="26" spans="1:54" ht="39.75" customHeight="1" x14ac:dyDescent="0.25">
      <c r="A26" s="109">
        <f t="shared" si="0"/>
        <v>14</v>
      </c>
      <c r="B26" s="110" t="e">
        <f>#REF!</f>
        <v>#REF!</v>
      </c>
      <c r="C26" s="111" t="e">
        <f>#REF!</f>
        <v>#REF!</v>
      </c>
      <c r="D26" s="112" t="e">
        <f>#REF!</f>
        <v>#REF!</v>
      </c>
      <c r="E26" s="113" t="e">
        <f>#REF!</f>
        <v>#REF!</v>
      </c>
      <c r="F26" s="323" t="s">
        <v>230</v>
      </c>
      <c r="G26" s="324" t="s">
        <v>376</v>
      </c>
      <c r="H26" s="80" t="s">
        <v>379</v>
      </c>
      <c r="I26" s="80" t="s">
        <v>385</v>
      </c>
      <c r="J26" s="81" t="s">
        <v>376</v>
      </c>
      <c r="K26" s="82" t="s">
        <v>379</v>
      </c>
      <c r="L26" s="82" t="s">
        <v>385</v>
      </c>
      <c r="M26" s="84" t="s">
        <v>376</v>
      </c>
      <c r="N26" s="80" t="s">
        <v>379</v>
      </c>
      <c r="O26" s="80" t="s">
        <v>385</v>
      </c>
      <c r="P26" s="81" t="s">
        <v>376</v>
      </c>
      <c r="Q26" s="82" t="s">
        <v>379</v>
      </c>
      <c r="R26" s="82" t="s">
        <v>385</v>
      </c>
      <c r="S26" s="84" t="s">
        <v>376</v>
      </c>
      <c r="T26" s="80" t="s">
        <v>379</v>
      </c>
      <c r="U26" s="80" t="s">
        <v>385</v>
      </c>
      <c r="V26" s="81" t="s">
        <v>376</v>
      </c>
      <c r="W26" s="82" t="s">
        <v>379</v>
      </c>
      <c r="X26" s="82" t="s">
        <v>385</v>
      </c>
      <c r="Y26" s="84" t="s">
        <v>376</v>
      </c>
      <c r="Z26" s="80" t="s">
        <v>379</v>
      </c>
      <c r="AA26" s="80" t="s">
        <v>385</v>
      </c>
      <c r="AB26" s="81" t="s">
        <v>376</v>
      </c>
      <c r="AC26" s="82" t="s">
        <v>379</v>
      </c>
      <c r="AD26" s="82" t="s">
        <v>385</v>
      </c>
      <c r="AE26" s="84" t="s">
        <v>376</v>
      </c>
      <c r="AF26" s="80" t="s">
        <v>379</v>
      </c>
      <c r="AG26" s="80" t="s">
        <v>385</v>
      </c>
      <c r="AH26" s="81" t="s">
        <v>376</v>
      </c>
      <c r="AI26" s="82" t="s">
        <v>379</v>
      </c>
      <c r="AJ26" s="82" t="s">
        <v>385</v>
      </c>
      <c r="AK26" s="327" t="s">
        <v>376</v>
      </c>
      <c r="AL26" s="80" t="s">
        <v>379</v>
      </c>
      <c r="AM26" s="80" t="s">
        <v>385</v>
      </c>
      <c r="AN26" s="81" t="s">
        <v>376</v>
      </c>
      <c r="AO26" s="82" t="s">
        <v>379</v>
      </c>
      <c r="AP26" s="120" t="s">
        <v>385</v>
      </c>
      <c r="AQ26" s="328" t="s">
        <v>376</v>
      </c>
      <c r="AR26" s="329" t="s">
        <v>12</v>
      </c>
      <c r="AS26" s="80" t="s">
        <v>379</v>
      </c>
      <c r="AT26" s="330" t="s">
        <v>385</v>
      </c>
      <c r="AU26" s="331" t="s">
        <v>376</v>
      </c>
      <c r="AV26" s="332" t="s">
        <v>12</v>
      </c>
      <c r="AW26" s="82" t="s">
        <v>379</v>
      </c>
      <c r="AX26" s="333" t="s">
        <v>385</v>
      </c>
      <c r="AY26" s="334" t="s">
        <v>230</v>
      </c>
      <c r="AZ26" s="269">
        <v>44077</v>
      </c>
      <c r="BA26" s="275" t="s">
        <v>346</v>
      </c>
      <c r="BB26" s="276"/>
    </row>
    <row r="27" spans="1:54" ht="39.75" customHeight="1" x14ac:dyDescent="0.25">
      <c r="A27" s="109">
        <f t="shared" si="0"/>
        <v>15</v>
      </c>
      <c r="B27" s="110" t="e">
        <f>#REF!</f>
        <v>#REF!</v>
      </c>
      <c r="C27" s="111" t="e">
        <f>#REF!</f>
        <v>#REF!</v>
      </c>
      <c r="D27" s="112" t="e">
        <f>#REF!</f>
        <v>#REF!</v>
      </c>
      <c r="E27" s="113" t="e">
        <f>#REF!</f>
        <v>#REF!</v>
      </c>
      <c r="F27" s="323" t="s">
        <v>129</v>
      </c>
      <c r="G27" s="324" t="s">
        <v>378</v>
      </c>
      <c r="H27" s="80" t="s">
        <v>382</v>
      </c>
      <c r="I27" s="80" t="s">
        <v>386</v>
      </c>
      <c r="J27" s="81" t="s">
        <v>378</v>
      </c>
      <c r="K27" s="82" t="s">
        <v>382</v>
      </c>
      <c r="L27" s="82" t="s">
        <v>386</v>
      </c>
      <c r="M27" s="84" t="s">
        <v>378</v>
      </c>
      <c r="N27" s="80" t="s">
        <v>382</v>
      </c>
      <c r="O27" s="80" t="s">
        <v>386</v>
      </c>
      <c r="P27" s="81" t="s">
        <v>378</v>
      </c>
      <c r="Q27" s="82" t="s">
        <v>382</v>
      </c>
      <c r="R27" s="82" t="s">
        <v>386</v>
      </c>
      <c r="S27" s="84" t="s">
        <v>378</v>
      </c>
      <c r="T27" s="80" t="s">
        <v>382</v>
      </c>
      <c r="U27" s="80" t="s">
        <v>386</v>
      </c>
      <c r="V27" s="81" t="s">
        <v>378</v>
      </c>
      <c r="W27" s="82" t="s">
        <v>382</v>
      </c>
      <c r="X27" s="82" t="s">
        <v>386</v>
      </c>
      <c r="Y27" s="84" t="s">
        <v>378</v>
      </c>
      <c r="Z27" s="80" t="s">
        <v>382</v>
      </c>
      <c r="AA27" s="80" t="s">
        <v>386</v>
      </c>
      <c r="AB27" s="81" t="s">
        <v>378</v>
      </c>
      <c r="AC27" s="82" t="s">
        <v>382</v>
      </c>
      <c r="AD27" s="82" t="s">
        <v>386</v>
      </c>
      <c r="AE27" s="84" t="s">
        <v>378</v>
      </c>
      <c r="AF27" s="80" t="s">
        <v>382</v>
      </c>
      <c r="AG27" s="80" t="s">
        <v>386</v>
      </c>
      <c r="AH27" s="81" t="s">
        <v>378</v>
      </c>
      <c r="AI27" s="82" t="s">
        <v>382</v>
      </c>
      <c r="AJ27" s="82" t="s">
        <v>386</v>
      </c>
      <c r="AK27" s="327" t="s">
        <v>378</v>
      </c>
      <c r="AL27" s="80" t="s">
        <v>382</v>
      </c>
      <c r="AM27" s="80" t="s">
        <v>386</v>
      </c>
      <c r="AN27" s="81" t="s">
        <v>378</v>
      </c>
      <c r="AO27" s="82" t="s">
        <v>382</v>
      </c>
      <c r="AP27" s="120" t="s">
        <v>386</v>
      </c>
      <c r="AQ27" s="328" t="s">
        <v>378</v>
      </c>
      <c r="AR27" s="329" t="s">
        <v>12</v>
      </c>
      <c r="AS27" s="80" t="s">
        <v>382</v>
      </c>
      <c r="AT27" s="330" t="s">
        <v>386</v>
      </c>
      <c r="AU27" s="331" t="s">
        <v>378</v>
      </c>
      <c r="AV27" s="332" t="s">
        <v>12</v>
      </c>
      <c r="AW27" s="82" t="s">
        <v>382</v>
      </c>
      <c r="AX27" s="333" t="s">
        <v>386</v>
      </c>
      <c r="AY27" s="334" t="s">
        <v>129</v>
      </c>
      <c r="AZ27" s="269">
        <v>44137</v>
      </c>
      <c r="BA27" s="270" t="s">
        <v>335</v>
      </c>
      <c r="BB27" s="276"/>
    </row>
    <row r="28" spans="1:54" ht="39.75" customHeight="1" x14ac:dyDescent="0.25">
      <c r="A28" s="109">
        <f t="shared" si="0"/>
        <v>16</v>
      </c>
      <c r="B28" s="110" t="e">
        <f>#REF!</f>
        <v>#REF!</v>
      </c>
      <c r="C28" s="111" t="e">
        <f>#REF!</f>
        <v>#REF!</v>
      </c>
      <c r="D28" s="112" t="e">
        <f>#REF!</f>
        <v>#REF!</v>
      </c>
      <c r="E28" s="113" t="e">
        <f>#REF!</f>
        <v>#REF!</v>
      </c>
      <c r="F28" s="323" t="s">
        <v>230</v>
      </c>
      <c r="G28" s="324" t="s">
        <v>381</v>
      </c>
      <c r="H28" s="80" t="s">
        <v>384</v>
      </c>
      <c r="I28" s="80" t="s">
        <v>377</v>
      </c>
      <c r="J28" s="81" t="s">
        <v>381</v>
      </c>
      <c r="K28" s="82" t="s">
        <v>384</v>
      </c>
      <c r="L28" s="82" t="s">
        <v>377</v>
      </c>
      <c r="M28" s="84" t="s">
        <v>381</v>
      </c>
      <c r="N28" s="80" t="s">
        <v>384</v>
      </c>
      <c r="O28" s="80" t="s">
        <v>377</v>
      </c>
      <c r="P28" s="81" t="s">
        <v>381</v>
      </c>
      <c r="Q28" s="82" t="s">
        <v>384</v>
      </c>
      <c r="R28" s="82" t="s">
        <v>377</v>
      </c>
      <c r="S28" s="84" t="s">
        <v>381</v>
      </c>
      <c r="T28" s="80" t="s">
        <v>384</v>
      </c>
      <c r="U28" s="80" t="s">
        <v>377</v>
      </c>
      <c r="V28" s="81" t="s">
        <v>381</v>
      </c>
      <c r="W28" s="82" t="s">
        <v>384</v>
      </c>
      <c r="X28" s="82" t="s">
        <v>377</v>
      </c>
      <c r="Y28" s="84" t="s">
        <v>381</v>
      </c>
      <c r="Z28" s="80" t="s">
        <v>384</v>
      </c>
      <c r="AA28" s="80" t="s">
        <v>377</v>
      </c>
      <c r="AB28" s="81" t="s">
        <v>381</v>
      </c>
      <c r="AC28" s="82" t="s">
        <v>384</v>
      </c>
      <c r="AD28" s="82" t="s">
        <v>377</v>
      </c>
      <c r="AE28" s="84" t="s">
        <v>381</v>
      </c>
      <c r="AF28" s="80" t="s">
        <v>384</v>
      </c>
      <c r="AG28" s="80" t="s">
        <v>377</v>
      </c>
      <c r="AH28" s="81" t="s">
        <v>381</v>
      </c>
      <c r="AI28" s="82" t="s">
        <v>384</v>
      </c>
      <c r="AJ28" s="82" t="s">
        <v>377</v>
      </c>
      <c r="AK28" s="327" t="s">
        <v>381</v>
      </c>
      <c r="AL28" s="80" t="s">
        <v>384</v>
      </c>
      <c r="AM28" s="80" t="s">
        <v>377</v>
      </c>
      <c r="AN28" s="81" t="s">
        <v>381</v>
      </c>
      <c r="AO28" s="82" t="s">
        <v>384</v>
      </c>
      <c r="AP28" s="120" t="s">
        <v>377</v>
      </c>
      <c r="AQ28" s="328" t="s">
        <v>381</v>
      </c>
      <c r="AR28" s="329" t="s">
        <v>12</v>
      </c>
      <c r="AS28" s="80" t="s">
        <v>384</v>
      </c>
      <c r="AT28" s="330" t="s">
        <v>377</v>
      </c>
      <c r="AU28" s="331" t="s">
        <v>381</v>
      </c>
      <c r="AV28" s="332" t="s">
        <v>12</v>
      </c>
      <c r="AW28" s="82" t="s">
        <v>384</v>
      </c>
      <c r="AX28" s="333" t="s">
        <v>377</v>
      </c>
      <c r="AY28" s="334" t="s">
        <v>230</v>
      </c>
      <c r="AZ28" s="269">
        <v>44170</v>
      </c>
      <c r="BA28" s="275" t="s">
        <v>342</v>
      </c>
      <c r="BB28" s="276"/>
    </row>
    <row r="29" spans="1:54" ht="39.75" customHeight="1" x14ac:dyDescent="0.25">
      <c r="A29" s="109">
        <f t="shared" si="0"/>
        <v>17</v>
      </c>
      <c r="B29" s="110" t="e">
        <f>#REF!</f>
        <v>#REF!</v>
      </c>
      <c r="C29" s="111" t="e">
        <f>#REF!</f>
        <v>#REF!</v>
      </c>
      <c r="D29" s="112" t="e">
        <f>#REF!</f>
        <v>#REF!</v>
      </c>
      <c r="E29" s="113" t="e">
        <f>#REF!</f>
        <v>#REF!</v>
      </c>
      <c r="F29" s="323" t="s">
        <v>129</v>
      </c>
      <c r="G29" s="324" t="s">
        <v>376</v>
      </c>
      <c r="H29" s="80" t="s">
        <v>111</v>
      </c>
      <c r="I29" s="80" t="s">
        <v>380</v>
      </c>
      <c r="J29" s="81" t="s">
        <v>376</v>
      </c>
      <c r="K29" s="82" t="s">
        <v>111</v>
      </c>
      <c r="L29" s="82" t="s">
        <v>380</v>
      </c>
      <c r="M29" s="84" t="s">
        <v>376</v>
      </c>
      <c r="N29" s="80" t="s">
        <v>111</v>
      </c>
      <c r="O29" s="80" t="s">
        <v>380</v>
      </c>
      <c r="P29" s="81" t="s">
        <v>376</v>
      </c>
      <c r="Q29" s="82" t="s">
        <v>111</v>
      </c>
      <c r="R29" s="82" t="s">
        <v>380</v>
      </c>
      <c r="S29" s="84" t="s">
        <v>376</v>
      </c>
      <c r="T29" s="80" t="s">
        <v>111</v>
      </c>
      <c r="U29" s="80" t="s">
        <v>380</v>
      </c>
      <c r="V29" s="81" t="s">
        <v>376</v>
      </c>
      <c r="W29" s="82" t="s">
        <v>111</v>
      </c>
      <c r="X29" s="82" t="s">
        <v>380</v>
      </c>
      <c r="Y29" s="84" t="s">
        <v>376</v>
      </c>
      <c r="Z29" s="80" t="s">
        <v>111</v>
      </c>
      <c r="AA29" s="80" t="s">
        <v>380</v>
      </c>
      <c r="AB29" s="81" t="s">
        <v>376</v>
      </c>
      <c r="AC29" s="82" t="s">
        <v>111</v>
      </c>
      <c r="AD29" s="82" t="s">
        <v>380</v>
      </c>
      <c r="AE29" s="84" t="s">
        <v>376</v>
      </c>
      <c r="AF29" s="80" t="s">
        <v>111</v>
      </c>
      <c r="AG29" s="80" t="s">
        <v>380</v>
      </c>
      <c r="AH29" s="81" t="s">
        <v>376</v>
      </c>
      <c r="AI29" s="82" t="s">
        <v>111</v>
      </c>
      <c r="AJ29" s="82" t="s">
        <v>380</v>
      </c>
      <c r="AK29" s="327" t="s">
        <v>376</v>
      </c>
      <c r="AL29" s="80" t="s">
        <v>111</v>
      </c>
      <c r="AM29" s="80" t="s">
        <v>380</v>
      </c>
      <c r="AN29" s="81" t="s">
        <v>376</v>
      </c>
      <c r="AO29" s="82" t="s">
        <v>111</v>
      </c>
      <c r="AP29" s="120" t="s">
        <v>380</v>
      </c>
      <c r="AQ29" s="328" t="s">
        <v>376</v>
      </c>
      <c r="AR29" s="329" t="s">
        <v>12</v>
      </c>
      <c r="AS29" s="80" t="s">
        <v>111</v>
      </c>
      <c r="AT29" s="330" t="s">
        <v>380</v>
      </c>
      <c r="AU29" s="331" t="s">
        <v>376</v>
      </c>
      <c r="AV29" s="332" t="s">
        <v>12</v>
      </c>
      <c r="AW29" s="82" t="s">
        <v>111</v>
      </c>
      <c r="AX29" s="333" t="s">
        <v>380</v>
      </c>
      <c r="AY29" s="334" t="s">
        <v>129</v>
      </c>
      <c r="AZ29" s="269">
        <v>44201</v>
      </c>
      <c r="BA29" s="275" t="s">
        <v>344</v>
      </c>
      <c r="BB29" s="276"/>
    </row>
    <row r="30" spans="1:54" ht="39.75" customHeight="1" x14ac:dyDescent="0.25">
      <c r="A30" s="109">
        <f t="shared" si="0"/>
        <v>18</v>
      </c>
      <c r="B30" s="110" t="e">
        <f>#REF!</f>
        <v>#REF!</v>
      </c>
      <c r="C30" s="111" t="e">
        <f>#REF!</f>
        <v>#REF!</v>
      </c>
      <c r="D30" s="112" t="e">
        <f>#REF!</f>
        <v>#REF!</v>
      </c>
      <c r="E30" s="113" t="e">
        <f>#REF!</f>
        <v>#REF!</v>
      </c>
      <c r="F30" s="323" t="s">
        <v>230</v>
      </c>
      <c r="G30" s="324" t="s">
        <v>378</v>
      </c>
      <c r="H30" s="80" t="s">
        <v>379</v>
      </c>
      <c r="I30" s="80" t="s">
        <v>383</v>
      </c>
      <c r="J30" s="81" t="s">
        <v>378</v>
      </c>
      <c r="K30" s="82" t="s">
        <v>379</v>
      </c>
      <c r="L30" s="82" t="s">
        <v>383</v>
      </c>
      <c r="M30" s="84" t="s">
        <v>378</v>
      </c>
      <c r="N30" s="80" t="s">
        <v>379</v>
      </c>
      <c r="O30" s="80" t="s">
        <v>383</v>
      </c>
      <c r="P30" s="81" t="s">
        <v>378</v>
      </c>
      <c r="Q30" s="82" t="s">
        <v>379</v>
      </c>
      <c r="R30" s="82" t="s">
        <v>383</v>
      </c>
      <c r="S30" s="84" t="s">
        <v>378</v>
      </c>
      <c r="T30" s="80" t="s">
        <v>379</v>
      </c>
      <c r="U30" s="80" t="s">
        <v>383</v>
      </c>
      <c r="V30" s="81" t="s">
        <v>378</v>
      </c>
      <c r="W30" s="82" t="s">
        <v>379</v>
      </c>
      <c r="X30" s="82" t="s">
        <v>383</v>
      </c>
      <c r="Y30" s="84" t="s">
        <v>378</v>
      </c>
      <c r="Z30" s="80" t="s">
        <v>379</v>
      </c>
      <c r="AA30" s="80" t="s">
        <v>383</v>
      </c>
      <c r="AB30" s="81" t="s">
        <v>378</v>
      </c>
      <c r="AC30" s="82" t="s">
        <v>379</v>
      </c>
      <c r="AD30" s="82" t="s">
        <v>383</v>
      </c>
      <c r="AE30" s="84" t="s">
        <v>378</v>
      </c>
      <c r="AF30" s="80" t="s">
        <v>379</v>
      </c>
      <c r="AG30" s="80" t="s">
        <v>383</v>
      </c>
      <c r="AH30" s="81" t="s">
        <v>378</v>
      </c>
      <c r="AI30" s="82" t="s">
        <v>379</v>
      </c>
      <c r="AJ30" s="82" t="s">
        <v>383</v>
      </c>
      <c r="AK30" s="327" t="s">
        <v>378</v>
      </c>
      <c r="AL30" s="80" t="s">
        <v>379</v>
      </c>
      <c r="AM30" s="80" t="s">
        <v>383</v>
      </c>
      <c r="AN30" s="81" t="s">
        <v>378</v>
      </c>
      <c r="AO30" s="82" t="s">
        <v>379</v>
      </c>
      <c r="AP30" s="120" t="s">
        <v>383</v>
      </c>
      <c r="AQ30" s="328" t="s">
        <v>378</v>
      </c>
      <c r="AR30" s="329" t="s">
        <v>12</v>
      </c>
      <c r="AS30" s="80" t="s">
        <v>379</v>
      </c>
      <c r="AT30" s="330" t="s">
        <v>383</v>
      </c>
      <c r="AU30" s="331" t="s">
        <v>378</v>
      </c>
      <c r="AV30" s="332" t="s">
        <v>12</v>
      </c>
      <c r="AW30" s="82" t="s">
        <v>379</v>
      </c>
      <c r="AX30" s="333" t="s">
        <v>383</v>
      </c>
      <c r="AY30" s="334" t="s">
        <v>230</v>
      </c>
      <c r="AZ30" s="269">
        <v>44230</v>
      </c>
      <c r="BA30" s="275" t="s">
        <v>346</v>
      </c>
      <c r="BB30" s="276"/>
    </row>
    <row r="31" spans="1:54" ht="39.75" customHeight="1" x14ac:dyDescent="0.25">
      <c r="A31" s="109">
        <f t="shared" si="0"/>
        <v>19</v>
      </c>
      <c r="B31" s="110" t="e">
        <f>#REF!</f>
        <v>#REF!</v>
      </c>
      <c r="C31" s="111" t="e">
        <f>#REF!</f>
        <v>#REF!</v>
      </c>
      <c r="D31" s="112" t="e">
        <f>#REF!</f>
        <v>#REF!</v>
      </c>
      <c r="E31" s="113" t="e">
        <f>#REF!</f>
        <v>#REF!</v>
      </c>
      <c r="F31" s="323" t="s">
        <v>129</v>
      </c>
      <c r="G31" s="324" t="s">
        <v>381</v>
      </c>
      <c r="H31" s="80" t="s">
        <v>382</v>
      </c>
      <c r="I31" s="80" t="s">
        <v>385</v>
      </c>
      <c r="J31" s="81" t="s">
        <v>381</v>
      </c>
      <c r="K31" s="82" t="s">
        <v>382</v>
      </c>
      <c r="L31" s="82" t="s">
        <v>385</v>
      </c>
      <c r="M31" s="84" t="s">
        <v>381</v>
      </c>
      <c r="N31" s="80" t="s">
        <v>382</v>
      </c>
      <c r="O31" s="80" t="s">
        <v>385</v>
      </c>
      <c r="P31" s="81" t="s">
        <v>381</v>
      </c>
      <c r="Q31" s="82" t="s">
        <v>382</v>
      </c>
      <c r="R31" s="82" t="s">
        <v>385</v>
      </c>
      <c r="S31" s="84" t="s">
        <v>381</v>
      </c>
      <c r="T31" s="80" t="s">
        <v>382</v>
      </c>
      <c r="U31" s="80" t="s">
        <v>385</v>
      </c>
      <c r="V31" s="81" t="s">
        <v>381</v>
      </c>
      <c r="W31" s="82" t="s">
        <v>382</v>
      </c>
      <c r="X31" s="82" t="s">
        <v>385</v>
      </c>
      <c r="Y31" s="84" t="s">
        <v>381</v>
      </c>
      <c r="Z31" s="80" t="s">
        <v>382</v>
      </c>
      <c r="AA31" s="80" t="s">
        <v>385</v>
      </c>
      <c r="AB31" s="81" t="s">
        <v>381</v>
      </c>
      <c r="AC31" s="82" t="s">
        <v>382</v>
      </c>
      <c r="AD31" s="82" t="s">
        <v>385</v>
      </c>
      <c r="AE31" s="84" t="s">
        <v>381</v>
      </c>
      <c r="AF31" s="80" t="s">
        <v>382</v>
      </c>
      <c r="AG31" s="80" t="s">
        <v>385</v>
      </c>
      <c r="AH31" s="81" t="s">
        <v>381</v>
      </c>
      <c r="AI31" s="82" t="s">
        <v>382</v>
      </c>
      <c r="AJ31" s="82" t="s">
        <v>385</v>
      </c>
      <c r="AK31" s="327" t="s">
        <v>381</v>
      </c>
      <c r="AL31" s="80" t="s">
        <v>382</v>
      </c>
      <c r="AM31" s="80" t="s">
        <v>385</v>
      </c>
      <c r="AN31" s="81" t="s">
        <v>381</v>
      </c>
      <c r="AO31" s="82" t="s">
        <v>382</v>
      </c>
      <c r="AP31" s="120" t="s">
        <v>385</v>
      </c>
      <c r="AQ31" s="328" t="s">
        <v>381</v>
      </c>
      <c r="AR31" s="329" t="s">
        <v>12</v>
      </c>
      <c r="AS31" s="80" t="s">
        <v>382</v>
      </c>
      <c r="AT31" s="330" t="s">
        <v>385</v>
      </c>
      <c r="AU31" s="331" t="s">
        <v>381</v>
      </c>
      <c r="AV31" s="332" t="s">
        <v>12</v>
      </c>
      <c r="AW31" s="82" t="s">
        <v>382</v>
      </c>
      <c r="AX31" s="333" t="s">
        <v>385</v>
      </c>
      <c r="AY31" s="334" t="s">
        <v>129</v>
      </c>
      <c r="AZ31" s="269">
        <v>44259</v>
      </c>
      <c r="BA31" s="270" t="s">
        <v>335</v>
      </c>
      <c r="BB31" s="276"/>
    </row>
    <row r="32" spans="1:54" ht="39.75" customHeight="1" x14ac:dyDescent="0.25">
      <c r="A32" s="109">
        <f t="shared" si="0"/>
        <v>20</v>
      </c>
      <c r="B32" s="110" t="e">
        <f>#REF!</f>
        <v>#REF!</v>
      </c>
      <c r="C32" s="111" t="e">
        <f>#REF!</f>
        <v>#REF!</v>
      </c>
      <c r="D32" s="112" t="e">
        <f>#REF!</f>
        <v>#REF!</v>
      </c>
      <c r="E32" s="113" t="e">
        <f>#REF!</f>
        <v>#REF!</v>
      </c>
      <c r="F32" s="323" t="s">
        <v>230</v>
      </c>
      <c r="G32" s="335" t="s">
        <v>376</v>
      </c>
      <c r="H32" s="80" t="s">
        <v>384</v>
      </c>
      <c r="I32" s="80" t="s">
        <v>386</v>
      </c>
      <c r="J32" s="86" t="s">
        <v>376</v>
      </c>
      <c r="K32" s="82" t="s">
        <v>384</v>
      </c>
      <c r="L32" s="82" t="s">
        <v>386</v>
      </c>
      <c r="M32" s="85" t="s">
        <v>376</v>
      </c>
      <c r="N32" s="80" t="s">
        <v>384</v>
      </c>
      <c r="O32" s="80" t="s">
        <v>386</v>
      </c>
      <c r="P32" s="86" t="s">
        <v>376</v>
      </c>
      <c r="Q32" s="82" t="s">
        <v>384</v>
      </c>
      <c r="R32" s="82" t="s">
        <v>386</v>
      </c>
      <c r="S32" s="85" t="s">
        <v>376</v>
      </c>
      <c r="T32" s="80" t="s">
        <v>384</v>
      </c>
      <c r="U32" s="80" t="s">
        <v>386</v>
      </c>
      <c r="V32" s="86" t="s">
        <v>376</v>
      </c>
      <c r="W32" s="82" t="s">
        <v>384</v>
      </c>
      <c r="X32" s="82" t="s">
        <v>386</v>
      </c>
      <c r="Y32" s="85" t="s">
        <v>376</v>
      </c>
      <c r="Z32" s="80" t="s">
        <v>384</v>
      </c>
      <c r="AA32" s="80" t="s">
        <v>386</v>
      </c>
      <c r="AB32" s="86" t="s">
        <v>376</v>
      </c>
      <c r="AC32" s="82" t="s">
        <v>384</v>
      </c>
      <c r="AD32" s="82" t="s">
        <v>386</v>
      </c>
      <c r="AE32" s="85" t="s">
        <v>376</v>
      </c>
      <c r="AF32" s="80" t="s">
        <v>384</v>
      </c>
      <c r="AG32" s="80" t="s">
        <v>386</v>
      </c>
      <c r="AH32" s="86" t="s">
        <v>376</v>
      </c>
      <c r="AI32" s="82" t="s">
        <v>384</v>
      </c>
      <c r="AJ32" s="82" t="s">
        <v>386</v>
      </c>
      <c r="AK32" s="336" t="s">
        <v>376</v>
      </c>
      <c r="AL32" s="80" t="s">
        <v>384</v>
      </c>
      <c r="AM32" s="80" t="s">
        <v>386</v>
      </c>
      <c r="AN32" s="86" t="s">
        <v>376</v>
      </c>
      <c r="AO32" s="82" t="s">
        <v>384</v>
      </c>
      <c r="AP32" s="120" t="s">
        <v>386</v>
      </c>
      <c r="AQ32" s="337" t="s">
        <v>376</v>
      </c>
      <c r="AR32" s="329" t="s">
        <v>12</v>
      </c>
      <c r="AS32" s="80" t="s">
        <v>384</v>
      </c>
      <c r="AT32" s="330" t="s">
        <v>386</v>
      </c>
      <c r="AU32" s="338" t="s">
        <v>376</v>
      </c>
      <c r="AV32" s="332" t="s">
        <v>12</v>
      </c>
      <c r="AW32" s="82" t="s">
        <v>384</v>
      </c>
      <c r="AX32" s="333" t="s">
        <v>386</v>
      </c>
      <c r="AY32" s="334" t="s">
        <v>230</v>
      </c>
      <c r="AZ32" s="269">
        <v>44291</v>
      </c>
      <c r="BA32" s="275" t="s">
        <v>342</v>
      </c>
      <c r="BB32" s="276"/>
    </row>
    <row r="33" spans="1:54" ht="39.75" customHeight="1" x14ac:dyDescent="0.25">
      <c r="A33" s="109">
        <f t="shared" si="0"/>
        <v>21</v>
      </c>
      <c r="B33" s="110" t="e">
        <f>#REF!</f>
        <v>#REF!</v>
      </c>
      <c r="C33" s="111" t="e">
        <f>#REF!</f>
        <v>#REF!</v>
      </c>
      <c r="D33" s="112" t="e">
        <f>#REF!</f>
        <v>#REF!</v>
      </c>
      <c r="E33" s="113" t="e">
        <f>#REF!</f>
        <v>#REF!</v>
      </c>
      <c r="F33" s="323" t="s">
        <v>129</v>
      </c>
      <c r="G33" s="324" t="s">
        <v>376</v>
      </c>
      <c r="H33" s="80" t="s">
        <v>111</v>
      </c>
      <c r="I33" s="80" t="s">
        <v>377</v>
      </c>
      <c r="J33" s="81" t="s">
        <v>376</v>
      </c>
      <c r="K33" s="82" t="s">
        <v>111</v>
      </c>
      <c r="L33" s="82" t="s">
        <v>377</v>
      </c>
      <c r="M33" s="84" t="s">
        <v>376</v>
      </c>
      <c r="N33" s="80" t="s">
        <v>111</v>
      </c>
      <c r="O33" s="80" t="s">
        <v>377</v>
      </c>
      <c r="P33" s="81" t="s">
        <v>376</v>
      </c>
      <c r="Q33" s="82" t="s">
        <v>111</v>
      </c>
      <c r="R33" s="82" t="s">
        <v>377</v>
      </c>
      <c r="S33" s="84" t="s">
        <v>376</v>
      </c>
      <c r="T33" s="80" t="s">
        <v>111</v>
      </c>
      <c r="U33" s="80" t="s">
        <v>377</v>
      </c>
      <c r="V33" s="81" t="s">
        <v>376</v>
      </c>
      <c r="W33" s="82" t="s">
        <v>111</v>
      </c>
      <c r="X33" s="82" t="s">
        <v>377</v>
      </c>
      <c r="Y33" s="84" t="s">
        <v>376</v>
      </c>
      <c r="Z33" s="80" t="s">
        <v>111</v>
      </c>
      <c r="AA33" s="80" t="s">
        <v>377</v>
      </c>
      <c r="AB33" s="81" t="s">
        <v>376</v>
      </c>
      <c r="AC33" s="82" t="s">
        <v>111</v>
      </c>
      <c r="AD33" s="82" t="s">
        <v>377</v>
      </c>
      <c r="AE33" s="84" t="s">
        <v>376</v>
      </c>
      <c r="AF33" s="80" t="s">
        <v>111</v>
      </c>
      <c r="AG33" s="80" t="s">
        <v>377</v>
      </c>
      <c r="AH33" s="81" t="s">
        <v>376</v>
      </c>
      <c r="AI33" s="82" t="s">
        <v>111</v>
      </c>
      <c r="AJ33" s="82" t="s">
        <v>377</v>
      </c>
      <c r="AK33" s="327" t="s">
        <v>376</v>
      </c>
      <c r="AL33" s="80" t="s">
        <v>111</v>
      </c>
      <c r="AM33" s="80" t="s">
        <v>377</v>
      </c>
      <c r="AN33" s="81" t="s">
        <v>376</v>
      </c>
      <c r="AO33" s="82" t="s">
        <v>111</v>
      </c>
      <c r="AP33" s="120" t="s">
        <v>377</v>
      </c>
      <c r="AQ33" s="328" t="s">
        <v>376</v>
      </c>
      <c r="AR33" s="329" t="s">
        <v>12</v>
      </c>
      <c r="AS33" s="80" t="s">
        <v>111</v>
      </c>
      <c r="AT33" s="330" t="s">
        <v>377</v>
      </c>
      <c r="AU33" s="331" t="s">
        <v>376</v>
      </c>
      <c r="AV33" s="332" t="s">
        <v>12</v>
      </c>
      <c r="AW33" s="82" t="s">
        <v>111</v>
      </c>
      <c r="AX33" s="333" t="s">
        <v>377</v>
      </c>
      <c r="AY33" s="334" t="s">
        <v>129</v>
      </c>
      <c r="AZ33" s="269">
        <v>44319</v>
      </c>
      <c r="BA33" s="270" t="s">
        <v>335</v>
      </c>
      <c r="BB33" s="276"/>
    </row>
    <row r="34" spans="1:54" ht="39.75" customHeight="1" x14ac:dyDescent="0.25">
      <c r="A34" s="109">
        <f t="shared" si="0"/>
        <v>22</v>
      </c>
      <c r="B34" s="110" t="e">
        <f>#REF!</f>
        <v>#REF!</v>
      </c>
      <c r="C34" s="111" t="e">
        <f>#REF!</f>
        <v>#REF!</v>
      </c>
      <c r="D34" s="112" t="e">
        <f>#REF!</f>
        <v>#REF!</v>
      </c>
      <c r="E34" s="113" t="e">
        <f>#REF!</f>
        <v>#REF!</v>
      </c>
      <c r="F34" s="323" t="s">
        <v>230</v>
      </c>
      <c r="G34" s="324" t="s">
        <v>378</v>
      </c>
      <c r="H34" s="80" t="s">
        <v>379</v>
      </c>
      <c r="I34" s="80" t="s">
        <v>380</v>
      </c>
      <c r="J34" s="81" t="s">
        <v>378</v>
      </c>
      <c r="K34" s="82" t="s">
        <v>379</v>
      </c>
      <c r="L34" s="82" t="s">
        <v>380</v>
      </c>
      <c r="M34" s="84" t="s">
        <v>378</v>
      </c>
      <c r="N34" s="80" t="s">
        <v>379</v>
      </c>
      <c r="O34" s="80" t="s">
        <v>380</v>
      </c>
      <c r="P34" s="81" t="s">
        <v>378</v>
      </c>
      <c r="Q34" s="82" t="s">
        <v>379</v>
      </c>
      <c r="R34" s="82" t="s">
        <v>380</v>
      </c>
      <c r="S34" s="84" t="s">
        <v>378</v>
      </c>
      <c r="T34" s="80" t="s">
        <v>379</v>
      </c>
      <c r="U34" s="80" t="s">
        <v>380</v>
      </c>
      <c r="V34" s="81" t="s">
        <v>378</v>
      </c>
      <c r="W34" s="82" t="s">
        <v>379</v>
      </c>
      <c r="X34" s="82" t="s">
        <v>380</v>
      </c>
      <c r="Y34" s="84" t="s">
        <v>378</v>
      </c>
      <c r="Z34" s="80" t="s">
        <v>379</v>
      </c>
      <c r="AA34" s="80" t="s">
        <v>380</v>
      </c>
      <c r="AB34" s="81" t="s">
        <v>378</v>
      </c>
      <c r="AC34" s="82" t="s">
        <v>379</v>
      </c>
      <c r="AD34" s="82" t="s">
        <v>380</v>
      </c>
      <c r="AE34" s="84" t="s">
        <v>378</v>
      </c>
      <c r="AF34" s="80" t="s">
        <v>379</v>
      </c>
      <c r="AG34" s="80" t="s">
        <v>380</v>
      </c>
      <c r="AH34" s="81" t="s">
        <v>378</v>
      </c>
      <c r="AI34" s="82" t="s">
        <v>379</v>
      </c>
      <c r="AJ34" s="82" t="s">
        <v>380</v>
      </c>
      <c r="AK34" s="327" t="s">
        <v>378</v>
      </c>
      <c r="AL34" s="80" t="s">
        <v>379</v>
      </c>
      <c r="AM34" s="80" t="s">
        <v>380</v>
      </c>
      <c r="AN34" s="81" t="s">
        <v>378</v>
      </c>
      <c r="AO34" s="82" t="s">
        <v>379</v>
      </c>
      <c r="AP34" s="120" t="s">
        <v>380</v>
      </c>
      <c r="AQ34" s="328" t="s">
        <v>378</v>
      </c>
      <c r="AR34" s="329" t="s">
        <v>12</v>
      </c>
      <c r="AS34" s="80" t="s">
        <v>379</v>
      </c>
      <c r="AT34" s="330" t="s">
        <v>380</v>
      </c>
      <c r="AU34" s="331" t="s">
        <v>378</v>
      </c>
      <c r="AV34" s="332" t="s">
        <v>12</v>
      </c>
      <c r="AW34" s="82" t="s">
        <v>379</v>
      </c>
      <c r="AX34" s="333" t="s">
        <v>380</v>
      </c>
      <c r="AY34" s="334" t="s">
        <v>230</v>
      </c>
      <c r="AZ34" s="269">
        <v>44351</v>
      </c>
      <c r="BA34" s="275" t="s">
        <v>342</v>
      </c>
      <c r="BB34" s="276"/>
    </row>
    <row r="35" spans="1:54" ht="39.75" customHeight="1" x14ac:dyDescent="0.25">
      <c r="A35" s="109">
        <f t="shared" si="0"/>
        <v>23</v>
      </c>
      <c r="B35" s="110" t="e">
        <f>#REF!</f>
        <v>#REF!</v>
      </c>
      <c r="C35" s="111" t="e">
        <f>#REF!</f>
        <v>#REF!</v>
      </c>
      <c r="D35" s="112" t="e">
        <f>#REF!</f>
        <v>#REF!</v>
      </c>
      <c r="E35" s="113" t="e">
        <f>#REF!</f>
        <v>#REF!</v>
      </c>
      <c r="F35" s="323" t="s">
        <v>129</v>
      </c>
      <c r="G35" s="324" t="s">
        <v>381</v>
      </c>
      <c r="H35" s="80" t="s">
        <v>382</v>
      </c>
      <c r="I35" s="80" t="s">
        <v>383</v>
      </c>
      <c r="J35" s="81" t="s">
        <v>381</v>
      </c>
      <c r="K35" s="82" t="s">
        <v>382</v>
      </c>
      <c r="L35" s="82" t="s">
        <v>383</v>
      </c>
      <c r="M35" s="84" t="s">
        <v>381</v>
      </c>
      <c r="N35" s="80" t="s">
        <v>382</v>
      </c>
      <c r="O35" s="80" t="s">
        <v>383</v>
      </c>
      <c r="P35" s="81" t="s">
        <v>381</v>
      </c>
      <c r="Q35" s="82" t="s">
        <v>382</v>
      </c>
      <c r="R35" s="82" t="s">
        <v>383</v>
      </c>
      <c r="S35" s="84" t="s">
        <v>381</v>
      </c>
      <c r="T35" s="80" t="s">
        <v>382</v>
      </c>
      <c r="U35" s="80" t="s">
        <v>383</v>
      </c>
      <c r="V35" s="81" t="s">
        <v>381</v>
      </c>
      <c r="W35" s="82" t="s">
        <v>382</v>
      </c>
      <c r="X35" s="82" t="s">
        <v>383</v>
      </c>
      <c r="Y35" s="84" t="s">
        <v>381</v>
      </c>
      <c r="Z35" s="80" t="s">
        <v>382</v>
      </c>
      <c r="AA35" s="80" t="s">
        <v>383</v>
      </c>
      <c r="AB35" s="81" t="s">
        <v>381</v>
      </c>
      <c r="AC35" s="82" t="s">
        <v>382</v>
      </c>
      <c r="AD35" s="82" t="s">
        <v>383</v>
      </c>
      <c r="AE35" s="84" t="s">
        <v>381</v>
      </c>
      <c r="AF35" s="80" t="s">
        <v>382</v>
      </c>
      <c r="AG35" s="80" t="s">
        <v>383</v>
      </c>
      <c r="AH35" s="81" t="s">
        <v>381</v>
      </c>
      <c r="AI35" s="82" t="s">
        <v>382</v>
      </c>
      <c r="AJ35" s="82" t="s">
        <v>383</v>
      </c>
      <c r="AK35" s="327" t="s">
        <v>381</v>
      </c>
      <c r="AL35" s="80" t="s">
        <v>382</v>
      </c>
      <c r="AM35" s="80" t="s">
        <v>383</v>
      </c>
      <c r="AN35" s="81" t="s">
        <v>381</v>
      </c>
      <c r="AO35" s="82" t="s">
        <v>382</v>
      </c>
      <c r="AP35" s="120" t="s">
        <v>383</v>
      </c>
      <c r="AQ35" s="328" t="s">
        <v>381</v>
      </c>
      <c r="AR35" s="329" t="s">
        <v>12</v>
      </c>
      <c r="AS35" s="80" t="s">
        <v>382</v>
      </c>
      <c r="AT35" s="330" t="s">
        <v>383</v>
      </c>
      <c r="AU35" s="331" t="s">
        <v>381</v>
      </c>
      <c r="AV35" s="332" t="s">
        <v>12</v>
      </c>
      <c r="AW35" s="82" t="s">
        <v>382</v>
      </c>
      <c r="AX35" s="333" t="s">
        <v>383</v>
      </c>
      <c r="AY35" s="334" t="s">
        <v>129</v>
      </c>
      <c r="AZ35" s="269">
        <v>44379</v>
      </c>
      <c r="BA35" s="275" t="s">
        <v>344</v>
      </c>
      <c r="BB35" s="276"/>
    </row>
    <row r="36" spans="1:54" ht="39.75" customHeight="1" x14ac:dyDescent="0.25">
      <c r="A36" s="109">
        <f t="shared" si="0"/>
        <v>24</v>
      </c>
      <c r="B36" s="110" t="e">
        <f>#REF!</f>
        <v>#REF!</v>
      </c>
      <c r="C36" s="111" t="e">
        <f>#REF!</f>
        <v>#REF!</v>
      </c>
      <c r="D36" s="112" t="e">
        <f>#REF!</f>
        <v>#REF!</v>
      </c>
      <c r="E36" s="113" t="e">
        <f>#REF!</f>
        <v>#REF!</v>
      </c>
      <c r="F36" s="323" t="s">
        <v>230</v>
      </c>
      <c r="G36" s="324" t="s">
        <v>376</v>
      </c>
      <c r="H36" s="80" t="s">
        <v>384</v>
      </c>
      <c r="I36" s="80" t="s">
        <v>385</v>
      </c>
      <c r="J36" s="81" t="s">
        <v>376</v>
      </c>
      <c r="K36" s="82" t="s">
        <v>384</v>
      </c>
      <c r="L36" s="82" t="s">
        <v>385</v>
      </c>
      <c r="M36" s="84" t="s">
        <v>376</v>
      </c>
      <c r="N36" s="80" t="s">
        <v>384</v>
      </c>
      <c r="O36" s="80" t="s">
        <v>385</v>
      </c>
      <c r="P36" s="81" t="s">
        <v>376</v>
      </c>
      <c r="Q36" s="82" t="s">
        <v>384</v>
      </c>
      <c r="R36" s="82" t="s">
        <v>385</v>
      </c>
      <c r="S36" s="84" t="s">
        <v>376</v>
      </c>
      <c r="T36" s="80" t="s">
        <v>384</v>
      </c>
      <c r="U36" s="80" t="s">
        <v>385</v>
      </c>
      <c r="V36" s="81" t="s">
        <v>376</v>
      </c>
      <c r="W36" s="82" t="s">
        <v>384</v>
      </c>
      <c r="X36" s="82" t="s">
        <v>385</v>
      </c>
      <c r="Y36" s="84" t="s">
        <v>376</v>
      </c>
      <c r="Z36" s="80" t="s">
        <v>384</v>
      </c>
      <c r="AA36" s="80" t="s">
        <v>385</v>
      </c>
      <c r="AB36" s="81" t="s">
        <v>376</v>
      </c>
      <c r="AC36" s="82" t="s">
        <v>384</v>
      </c>
      <c r="AD36" s="82" t="s">
        <v>385</v>
      </c>
      <c r="AE36" s="84" t="s">
        <v>376</v>
      </c>
      <c r="AF36" s="80" t="s">
        <v>384</v>
      </c>
      <c r="AG36" s="80" t="s">
        <v>385</v>
      </c>
      <c r="AH36" s="81" t="s">
        <v>376</v>
      </c>
      <c r="AI36" s="82" t="s">
        <v>384</v>
      </c>
      <c r="AJ36" s="82" t="s">
        <v>385</v>
      </c>
      <c r="AK36" s="327" t="s">
        <v>376</v>
      </c>
      <c r="AL36" s="80" t="s">
        <v>384</v>
      </c>
      <c r="AM36" s="80" t="s">
        <v>385</v>
      </c>
      <c r="AN36" s="81" t="s">
        <v>376</v>
      </c>
      <c r="AO36" s="82" t="s">
        <v>384</v>
      </c>
      <c r="AP36" s="120" t="s">
        <v>385</v>
      </c>
      <c r="AQ36" s="328" t="s">
        <v>376</v>
      </c>
      <c r="AR36" s="329" t="s">
        <v>12</v>
      </c>
      <c r="AS36" s="80" t="s">
        <v>384</v>
      </c>
      <c r="AT36" s="330" t="s">
        <v>385</v>
      </c>
      <c r="AU36" s="331" t="s">
        <v>376</v>
      </c>
      <c r="AV36" s="332" t="s">
        <v>12</v>
      </c>
      <c r="AW36" s="82" t="s">
        <v>384</v>
      </c>
      <c r="AX36" s="333" t="s">
        <v>385</v>
      </c>
      <c r="AY36" s="334" t="s">
        <v>230</v>
      </c>
      <c r="AZ36" s="269">
        <v>44412</v>
      </c>
      <c r="BA36" s="275" t="s">
        <v>346</v>
      </c>
      <c r="BB36" s="276"/>
    </row>
    <row r="37" spans="1:54" ht="39.75" customHeight="1" x14ac:dyDescent="0.25">
      <c r="A37" s="109">
        <f t="shared" si="0"/>
        <v>25</v>
      </c>
      <c r="B37" s="110" t="e">
        <f>#REF!</f>
        <v>#REF!</v>
      </c>
      <c r="C37" s="111" t="e">
        <f>#REF!</f>
        <v>#REF!</v>
      </c>
      <c r="D37" s="112" t="e">
        <f>#REF!</f>
        <v>#REF!</v>
      </c>
      <c r="E37" s="113" t="e">
        <f>#REF!</f>
        <v>#REF!</v>
      </c>
      <c r="F37" s="323" t="s">
        <v>129</v>
      </c>
      <c r="G37" s="324" t="s">
        <v>378</v>
      </c>
      <c r="H37" s="80" t="s">
        <v>111</v>
      </c>
      <c r="I37" s="80" t="s">
        <v>386</v>
      </c>
      <c r="J37" s="81" t="s">
        <v>378</v>
      </c>
      <c r="K37" s="82" t="s">
        <v>111</v>
      </c>
      <c r="L37" s="82" t="s">
        <v>386</v>
      </c>
      <c r="M37" s="84" t="s">
        <v>378</v>
      </c>
      <c r="N37" s="80" t="s">
        <v>111</v>
      </c>
      <c r="O37" s="80" t="s">
        <v>386</v>
      </c>
      <c r="P37" s="81" t="s">
        <v>378</v>
      </c>
      <c r="Q37" s="82" t="s">
        <v>111</v>
      </c>
      <c r="R37" s="82" t="s">
        <v>386</v>
      </c>
      <c r="S37" s="84" t="s">
        <v>378</v>
      </c>
      <c r="T37" s="80" t="s">
        <v>111</v>
      </c>
      <c r="U37" s="80" t="s">
        <v>386</v>
      </c>
      <c r="V37" s="81" t="s">
        <v>378</v>
      </c>
      <c r="W37" s="82" t="s">
        <v>111</v>
      </c>
      <c r="X37" s="82" t="s">
        <v>386</v>
      </c>
      <c r="Y37" s="84" t="s">
        <v>378</v>
      </c>
      <c r="Z37" s="80" t="s">
        <v>111</v>
      </c>
      <c r="AA37" s="80" t="s">
        <v>386</v>
      </c>
      <c r="AB37" s="81" t="s">
        <v>378</v>
      </c>
      <c r="AC37" s="82" t="s">
        <v>111</v>
      </c>
      <c r="AD37" s="82" t="s">
        <v>386</v>
      </c>
      <c r="AE37" s="84" t="s">
        <v>378</v>
      </c>
      <c r="AF37" s="80" t="s">
        <v>111</v>
      </c>
      <c r="AG37" s="80" t="s">
        <v>386</v>
      </c>
      <c r="AH37" s="81" t="s">
        <v>378</v>
      </c>
      <c r="AI37" s="82" t="s">
        <v>111</v>
      </c>
      <c r="AJ37" s="82" t="s">
        <v>386</v>
      </c>
      <c r="AK37" s="327" t="s">
        <v>378</v>
      </c>
      <c r="AL37" s="80" t="s">
        <v>111</v>
      </c>
      <c r="AM37" s="80" t="s">
        <v>386</v>
      </c>
      <c r="AN37" s="81" t="s">
        <v>378</v>
      </c>
      <c r="AO37" s="82" t="s">
        <v>111</v>
      </c>
      <c r="AP37" s="120" t="s">
        <v>386</v>
      </c>
      <c r="AQ37" s="328" t="s">
        <v>378</v>
      </c>
      <c r="AR37" s="329" t="s">
        <v>12</v>
      </c>
      <c r="AS37" s="80" t="s">
        <v>111</v>
      </c>
      <c r="AT37" s="330" t="s">
        <v>386</v>
      </c>
      <c r="AU37" s="331" t="s">
        <v>378</v>
      </c>
      <c r="AV37" s="332" t="s">
        <v>12</v>
      </c>
      <c r="AW37" s="82" t="s">
        <v>111</v>
      </c>
      <c r="AX37" s="333" t="s">
        <v>386</v>
      </c>
      <c r="AY37" s="334" t="s">
        <v>129</v>
      </c>
      <c r="AZ37" s="269">
        <v>44077</v>
      </c>
      <c r="BA37" s="270" t="s">
        <v>335</v>
      </c>
      <c r="BB37" s="276"/>
    </row>
    <row r="38" spans="1:54" ht="39.75" customHeight="1" x14ac:dyDescent="0.25">
      <c r="A38" s="109">
        <f t="shared" si="0"/>
        <v>26</v>
      </c>
      <c r="B38" s="110" t="e">
        <f>#REF!</f>
        <v>#REF!</v>
      </c>
      <c r="C38" s="111" t="e">
        <f>#REF!</f>
        <v>#REF!</v>
      </c>
      <c r="D38" s="112" t="e">
        <f>#REF!</f>
        <v>#REF!</v>
      </c>
      <c r="E38" s="113" t="e">
        <f>#REF!</f>
        <v>#REF!</v>
      </c>
      <c r="F38" s="323" t="s">
        <v>230</v>
      </c>
      <c r="G38" s="324" t="s">
        <v>381</v>
      </c>
      <c r="H38" s="80" t="s">
        <v>379</v>
      </c>
      <c r="I38" s="80" t="s">
        <v>377</v>
      </c>
      <c r="J38" s="81" t="s">
        <v>381</v>
      </c>
      <c r="K38" s="82" t="s">
        <v>379</v>
      </c>
      <c r="L38" s="82" t="s">
        <v>377</v>
      </c>
      <c r="M38" s="84" t="s">
        <v>381</v>
      </c>
      <c r="N38" s="80" t="s">
        <v>379</v>
      </c>
      <c r="O38" s="80" t="s">
        <v>377</v>
      </c>
      <c r="P38" s="81" t="s">
        <v>381</v>
      </c>
      <c r="Q38" s="82" t="s">
        <v>379</v>
      </c>
      <c r="R38" s="82" t="s">
        <v>377</v>
      </c>
      <c r="S38" s="84" t="s">
        <v>381</v>
      </c>
      <c r="T38" s="80" t="s">
        <v>379</v>
      </c>
      <c r="U38" s="80" t="s">
        <v>377</v>
      </c>
      <c r="V38" s="81" t="s">
        <v>381</v>
      </c>
      <c r="W38" s="82" t="s">
        <v>379</v>
      </c>
      <c r="X38" s="82" t="s">
        <v>377</v>
      </c>
      <c r="Y38" s="84" t="s">
        <v>381</v>
      </c>
      <c r="Z38" s="80" t="s">
        <v>379</v>
      </c>
      <c r="AA38" s="80" t="s">
        <v>377</v>
      </c>
      <c r="AB38" s="81" t="s">
        <v>381</v>
      </c>
      <c r="AC38" s="82" t="s">
        <v>379</v>
      </c>
      <c r="AD38" s="82" t="s">
        <v>377</v>
      </c>
      <c r="AE38" s="84" t="s">
        <v>381</v>
      </c>
      <c r="AF38" s="80" t="s">
        <v>379</v>
      </c>
      <c r="AG38" s="80" t="s">
        <v>377</v>
      </c>
      <c r="AH38" s="81" t="s">
        <v>381</v>
      </c>
      <c r="AI38" s="82" t="s">
        <v>379</v>
      </c>
      <c r="AJ38" s="82" t="s">
        <v>377</v>
      </c>
      <c r="AK38" s="327" t="s">
        <v>381</v>
      </c>
      <c r="AL38" s="80" t="s">
        <v>379</v>
      </c>
      <c r="AM38" s="80" t="s">
        <v>377</v>
      </c>
      <c r="AN38" s="81" t="s">
        <v>381</v>
      </c>
      <c r="AO38" s="82" t="s">
        <v>379</v>
      </c>
      <c r="AP38" s="120" t="s">
        <v>377</v>
      </c>
      <c r="AQ38" s="328" t="s">
        <v>381</v>
      </c>
      <c r="AR38" s="329" t="s">
        <v>12</v>
      </c>
      <c r="AS38" s="80" t="s">
        <v>379</v>
      </c>
      <c r="AT38" s="330" t="s">
        <v>377</v>
      </c>
      <c r="AU38" s="331" t="s">
        <v>381</v>
      </c>
      <c r="AV38" s="332" t="s">
        <v>12</v>
      </c>
      <c r="AW38" s="82" t="s">
        <v>379</v>
      </c>
      <c r="AX38" s="333" t="s">
        <v>377</v>
      </c>
      <c r="AY38" s="334" t="s">
        <v>230</v>
      </c>
      <c r="AZ38" s="269">
        <v>44107</v>
      </c>
      <c r="BA38" s="275" t="s">
        <v>342</v>
      </c>
      <c r="BB38" s="276"/>
    </row>
    <row r="39" spans="1:54" ht="39.75" customHeight="1" x14ac:dyDescent="0.25">
      <c r="A39" s="109">
        <f t="shared" si="0"/>
        <v>27</v>
      </c>
      <c r="B39" s="110" t="e">
        <f>#REF!</f>
        <v>#REF!</v>
      </c>
      <c r="C39" s="111" t="e">
        <f>#REF!</f>
        <v>#REF!</v>
      </c>
      <c r="D39" s="112" t="e">
        <f>#REF!</f>
        <v>#REF!</v>
      </c>
      <c r="E39" s="113" t="e">
        <f>#REF!</f>
        <v>#REF!</v>
      </c>
      <c r="F39" s="323" t="s">
        <v>129</v>
      </c>
      <c r="G39" s="324" t="s">
        <v>376</v>
      </c>
      <c r="H39" s="80" t="s">
        <v>382</v>
      </c>
      <c r="I39" s="80" t="s">
        <v>380</v>
      </c>
      <c r="J39" s="81" t="s">
        <v>376</v>
      </c>
      <c r="K39" s="82" t="s">
        <v>382</v>
      </c>
      <c r="L39" s="82" t="s">
        <v>380</v>
      </c>
      <c r="M39" s="84" t="s">
        <v>376</v>
      </c>
      <c r="N39" s="80" t="s">
        <v>382</v>
      </c>
      <c r="O39" s="80" t="s">
        <v>380</v>
      </c>
      <c r="P39" s="81" t="s">
        <v>376</v>
      </c>
      <c r="Q39" s="82" t="s">
        <v>382</v>
      </c>
      <c r="R39" s="82" t="s">
        <v>380</v>
      </c>
      <c r="S39" s="84" t="s">
        <v>376</v>
      </c>
      <c r="T39" s="80" t="s">
        <v>382</v>
      </c>
      <c r="U39" s="80" t="s">
        <v>380</v>
      </c>
      <c r="V39" s="81" t="s">
        <v>376</v>
      </c>
      <c r="W39" s="82" t="s">
        <v>382</v>
      </c>
      <c r="X39" s="82" t="s">
        <v>380</v>
      </c>
      <c r="Y39" s="84" t="s">
        <v>376</v>
      </c>
      <c r="Z39" s="80" t="s">
        <v>382</v>
      </c>
      <c r="AA39" s="80" t="s">
        <v>380</v>
      </c>
      <c r="AB39" s="81" t="s">
        <v>376</v>
      </c>
      <c r="AC39" s="82" t="s">
        <v>382</v>
      </c>
      <c r="AD39" s="82" t="s">
        <v>380</v>
      </c>
      <c r="AE39" s="84" t="s">
        <v>376</v>
      </c>
      <c r="AF39" s="80" t="s">
        <v>382</v>
      </c>
      <c r="AG39" s="80" t="s">
        <v>380</v>
      </c>
      <c r="AH39" s="81" t="s">
        <v>376</v>
      </c>
      <c r="AI39" s="82" t="s">
        <v>382</v>
      </c>
      <c r="AJ39" s="82" t="s">
        <v>380</v>
      </c>
      <c r="AK39" s="327" t="s">
        <v>376</v>
      </c>
      <c r="AL39" s="80" t="s">
        <v>382</v>
      </c>
      <c r="AM39" s="80" t="s">
        <v>380</v>
      </c>
      <c r="AN39" s="81" t="s">
        <v>376</v>
      </c>
      <c r="AO39" s="82" t="s">
        <v>382</v>
      </c>
      <c r="AP39" s="120" t="s">
        <v>380</v>
      </c>
      <c r="AQ39" s="328" t="s">
        <v>376</v>
      </c>
      <c r="AR39" s="329" t="s">
        <v>12</v>
      </c>
      <c r="AS39" s="80" t="s">
        <v>382</v>
      </c>
      <c r="AT39" s="330" t="s">
        <v>380</v>
      </c>
      <c r="AU39" s="331" t="s">
        <v>376</v>
      </c>
      <c r="AV39" s="332" t="s">
        <v>12</v>
      </c>
      <c r="AW39" s="82" t="s">
        <v>382</v>
      </c>
      <c r="AX39" s="333" t="s">
        <v>380</v>
      </c>
      <c r="AY39" s="334" t="s">
        <v>129</v>
      </c>
      <c r="AZ39" s="269">
        <v>44137</v>
      </c>
      <c r="BA39" s="275" t="s">
        <v>344</v>
      </c>
      <c r="BB39" s="276"/>
    </row>
    <row r="40" spans="1:54" ht="39.75" customHeight="1" x14ac:dyDescent="0.25">
      <c r="A40" s="109">
        <f t="shared" si="0"/>
        <v>28</v>
      </c>
      <c r="B40" s="110" t="e">
        <f>#REF!</f>
        <v>#REF!</v>
      </c>
      <c r="C40" s="111" t="e">
        <f>#REF!</f>
        <v>#REF!</v>
      </c>
      <c r="D40" s="112" t="e">
        <f>#REF!</f>
        <v>#REF!</v>
      </c>
      <c r="E40" s="113" t="e">
        <f>#REF!</f>
        <v>#REF!</v>
      </c>
      <c r="F40" s="323" t="s">
        <v>230</v>
      </c>
      <c r="G40" s="324" t="s">
        <v>378</v>
      </c>
      <c r="H40" s="80" t="s">
        <v>384</v>
      </c>
      <c r="I40" s="80" t="s">
        <v>383</v>
      </c>
      <c r="J40" s="81" t="s">
        <v>378</v>
      </c>
      <c r="K40" s="82" t="s">
        <v>384</v>
      </c>
      <c r="L40" s="82" t="s">
        <v>383</v>
      </c>
      <c r="M40" s="84" t="s">
        <v>378</v>
      </c>
      <c r="N40" s="80" t="s">
        <v>384</v>
      </c>
      <c r="O40" s="80" t="s">
        <v>383</v>
      </c>
      <c r="P40" s="81" t="s">
        <v>378</v>
      </c>
      <c r="Q40" s="82" t="s">
        <v>384</v>
      </c>
      <c r="R40" s="82" t="s">
        <v>383</v>
      </c>
      <c r="S40" s="84" t="s">
        <v>378</v>
      </c>
      <c r="T40" s="80" t="s">
        <v>384</v>
      </c>
      <c r="U40" s="80" t="s">
        <v>383</v>
      </c>
      <c r="V40" s="81" t="s">
        <v>378</v>
      </c>
      <c r="W40" s="82" t="s">
        <v>384</v>
      </c>
      <c r="X40" s="82" t="s">
        <v>383</v>
      </c>
      <c r="Y40" s="84" t="s">
        <v>378</v>
      </c>
      <c r="Z40" s="80" t="s">
        <v>384</v>
      </c>
      <c r="AA40" s="80" t="s">
        <v>383</v>
      </c>
      <c r="AB40" s="81" t="s">
        <v>378</v>
      </c>
      <c r="AC40" s="82" t="s">
        <v>384</v>
      </c>
      <c r="AD40" s="82" t="s">
        <v>383</v>
      </c>
      <c r="AE40" s="84" t="s">
        <v>378</v>
      </c>
      <c r="AF40" s="80" t="s">
        <v>384</v>
      </c>
      <c r="AG40" s="80" t="s">
        <v>383</v>
      </c>
      <c r="AH40" s="81" t="s">
        <v>378</v>
      </c>
      <c r="AI40" s="82" t="s">
        <v>384</v>
      </c>
      <c r="AJ40" s="82" t="s">
        <v>383</v>
      </c>
      <c r="AK40" s="327" t="s">
        <v>378</v>
      </c>
      <c r="AL40" s="80" t="s">
        <v>384</v>
      </c>
      <c r="AM40" s="80" t="s">
        <v>383</v>
      </c>
      <c r="AN40" s="81" t="s">
        <v>378</v>
      </c>
      <c r="AO40" s="82" t="s">
        <v>384</v>
      </c>
      <c r="AP40" s="120" t="s">
        <v>383</v>
      </c>
      <c r="AQ40" s="328" t="s">
        <v>378</v>
      </c>
      <c r="AR40" s="329" t="s">
        <v>12</v>
      </c>
      <c r="AS40" s="80" t="s">
        <v>384</v>
      </c>
      <c r="AT40" s="330" t="s">
        <v>383</v>
      </c>
      <c r="AU40" s="331" t="s">
        <v>378</v>
      </c>
      <c r="AV40" s="332" t="s">
        <v>12</v>
      </c>
      <c r="AW40" s="82" t="s">
        <v>384</v>
      </c>
      <c r="AX40" s="333" t="s">
        <v>383</v>
      </c>
      <c r="AY40" s="334" t="s">
        <v>230</v>
      </c>
      <c r="AZ40" s="269">
        <v>44170</v>
      </c>
      <c r="BA40" s="275" t="s">
        <v>346</v>
      </c>
      <c r="BB40" s="276"/>
    </row>
    <row r="41" spans="1:54" ht="39.75" customHeight="1" x14ac:dyDescent="0.25">
      <c r="A41" s="109">
        <f t="shared" si="0"/>
        <v>29</v>
      </c>
      <c r="B41" s="110" t="e">
        <f>#REF!</f>
        <v>#REF!</v>
      </c>
      <c r="C41" s="111" t="e">
        <f>#REF!</f>
        <v>#REF!</v>
      </c>
      <c r="D41" s="112" t="e">
        <f>#REF!</f>
        <v>#REF!</v>
      </c>
      <c r="E41" s="113" t="e">
        <f>#REF!</f>
        <v>#REF!</v>
      </c>
      <c r="F41" s="323" t="s">
        <v>129</v>
      </c>
      <c r="G41" s="324" t="s">
        <v>381</v>
      </c>
      <c r="H41" s="80" t="s">
        <v>111</v>
      </c>
      <c r="I41" s="80" t="s">
        <v>385</v>
      </c>
      <c r="J41" s="81" t="s">
        <v>381</v>
      </c>
      <c r="K41" s="82" t="s">
        <v>111</v>
      </c>
      <c r="L41" s="82" t="s">
        <v>385</v>
      </c>
      <c r="M41" s="84" t="s">
        <v>381</v>
      </c>
      <c r="N41" s="80" t="s">
        <v>111</v>
      </c>
      <c r="O41" s="80" t="s">
        <v>385</v>
      </c>
      <c r="P41" s="81" t="s">
        <v>381</v>
      </c>
      <c r="Q41" s="82" t="s">
        <v>111</v>
      </c>
      <c r="R41" s="82" t="s">
        <v>385</v>
      </c>
      <c r="S41" s="84" t="s">
        <v>381</v>
      </c>
      <c r="T41" s="80" t="s">
        <v>111</v>
      </c>
      <c r="U41" s="80" t="s">
        <v>385</v>
      </c>
      <c r="V41" s="81" t="s">
        <v>381</v>
      </c>
      <c r="W41" s="82" t="s">
        <v>111</v>
      </c>
      <c r="X41" s="82" t="s">
        <v>385</v>
      </c>
      <c r="Y41" s="84" t="s">
        <v>381</v>
      </c>
      <c r="Z41" s="80" t="s">
        <v>111</v>
      </c>
      <c r="AA41" s="80" t="s">
        <v>385</v>
      </c>
      <c r="AB41" s="81" t="s">
        <v>381</v>
      </c>
      <c r="AC41" s="82" t="s">
        <v>111</v>
      </c>
      <c r="AD41" s="82" t="s">
        <v>385</v>
      </c>
      <c r="AE41" s="84" t="s">
        <v>381</v>
      </c>
      <c r="AF41" s="80" t="s">
        <v>111</v>
      </c>
      <c r="AG41" s="80" t="s">
        <v>385</v>
      </c>
      <c r="AH41" s="81" t="s">
        <v>381</v>
      </c>
      <c r="AI41" s="82" t="s">
        <v>111</v>
      </c>
      <c r="AJ41" s="82" t="s">
        <v>385</v>
      </c>
      <c r="AK41" s="327" t="s">
        <v>381</v>
      </c>
      <c r="AL41" s="80" t="s">
        <v>111</v>
      </c>
      <c r="AM41" s="80" t="s">
        <v>385</v>
      </c>
      <c r="AN41" s="81" t="s">
        <v>381</v>
      </c>
      <c r="AO41" s="82" t="s">
        <v>111</v>
      </c>
      <c r="AP41" s="120" t="s">
        <v>385</v>
      </c>
      <c r="AQ41" s="328" t="s">
        <v>381</v>
      </c>
      <c r="AR41" s="329" t="s">
        <v>12</v>
      </c>
      <c r="AS41" s="80" t="s">
        <v>111</v>
      </c>
      <c r="AT41" s="330" t="s">
        <v>385</v>
      </c>
      <c r="AU41" s="331" t="s">
        <v>381</v>
      </c>
      <c r="AV41" s="332" t="s">
        <v>12</v>
      </c>
      <c r="AW41" s="82" t="s">
        <v>111</v>
      </c>
      <c r="AX41" s="333" t="s">
        <v>385</v>
      </c>
      <c r="AY41" s="334" t="s">
        <v>129</v>
      </c>
      <c r="AZ41" s="269">
        <v>44201</v>
      </c>
      <c r="BA41" s="270" t="s">
        <v>335</v>
      </c>
      <c r="BB41" s="276"/>
    </row>
    <row r="42" spans="1:54" ht="39.75" customHeight="1" x14ac:dyDescent="0.25">
      <c r="A42" s="109">
        <f t="shared" si="0"/>
        <v>30</v>
      </c>
      <c r="B42" s="110" t="e">
        <f>#REF!</f>
        <v>#REF!</v>
      </c>
      <c r="C42" s="111" t="e">
        <f>#REF!</f>
        <v>#REF!</v>
      </c>
      <c r="D42" s="112" t="e">
        <f>#REF!</f>
        <v>#REF!</v>
      </c>
      <c r="E42" s="113" t="e">
        <f>#REF!</f>
        <v>#REF!</v>
      </c>
      <c r="F42" s="323" t="s">
        <v>230</v>
      </c>
      <c r="G42" s="335" t="s">
        <v>376</v>
      </c>
      <c r="H42" s="80" t="s">
        <v>379</v>
      </c>
      <c r="I42" s="80" t="s">
        <v>386</v>
      </c>
      <c r="J42" s="86" t="s">
        <v>376</v>
      </c>
      <c r="K42" s="82" t="s">
        <v>379</v>
      </c>
      <c r="L42" s="82" t="s">
        <v>386</v>
      </c>
      <c r="M42" s="85" t="s">
        <v>376</v>
      </c>
      <c r="N42" s="80" t="s">
        <v>379</v>
      </c>
      <c r="O42" s="80" t="s">
        <v>386</v>
      </c>
      <c r="P42" s="86" t="s">
        <v>376</v>
      </c>
      <c r="Q42" s="82" t="s">
        <v>379</v>
      </c>
      <c r="R42" s="82" t="s">
        <v>386</v>
      </c>
      <c r="S42" s="85" t="s">
        <v>376</v>
      </c>
      <c r="T42" s="80" t="s">
        <v>379</v>
      </c>
      <c r="U42" s="80" t="s">
        <v>386</v>
      </c>
      <c r="V42" s="86" t="s">
        <v>376</v>
      </c>
      <c r="W42" s="82" t="s">
        <v>379</v>
      </c>
      <c r="X42" s="82" t="s">
        <v>386</v>
      </c>
      <c r="Y42" s="85" t="s">
        <v>376</v>
      </c>
      <c r="Z42" s="80" t="s">
        <v>379</v>
      </c>
      <c r="AA42" s="80" t="s">
        <v>386</v>
      </c>
      <c r="AB42" s="86" t="s">
        <v>376</v>
      </c>
      <c r="AC42" s="82" t="s">
        <v>379</v>
      </c>
      <c r="AD42" s="82" t="s">
        <v>386</v>
      </c>
      <c r="AE42" s="85" t="s">
        <v>376</v>
      </c>
      <c r="AF42" s="80" t="s">
        <v>379</v>
      </c>
      <c r="AG42" s="80" t="s">
        <v>386</v>
      </c>
      <c r="AH42" s="86" t="s">
        <v>376</v>
      </c>
      <c r="AI42" s="82" t="s">
        <v>379</v>
      </c>
      <c r="AJ42" s="82" t="s">
        <v>386</v>
      </c>
      <c r="AK42" s="336" t="s">
        <v>376</v>
      </c>
      <c r="AL42" s="80" t="s">
        <v>379</v>
      </c>
      <c r="AM42" s="80" t="s">
        <v>386</v>
      </c>
      <c r="AN42" s="86" t="s">
        <v>376</v>
      </c>
      <c r="AO42" s="82" t="s">
        <v>379</v>
      </c>
      <c r="AP42" s="120" t="s">
        <v>386</v>
      </c>
      <c r="AQ42" s="337" t="s">
        <v>376</v>
      </c>
      <c r="AR42" s="329" t="s">
        <v>12</v>
      </c>
      <c r="AS42" s="80" t="s">
        <v>379</v>
      </c>
      <c r="AT42" s="330" t="s">
        <v>386</v>
      </c>
      <c r="AU42" s="338" t="s">
        <v>376</v>
      </c>
      <c r="AV42" s="332" t="s">
        <v>12</v>
      </c>
      <c r="AW42" s="82" t="s">
        <v>379</v>
      </c>
      <c r="AX42" s="333" t="s">
        <v>386</v>
      </c>
      <c r="AY42" s="334" t="s">
        <v>230</v>
      </c>
      <c r="AZ42" s="269">
        <v>44230</v>
      </c>
      <c r="BA42" s="275" t="s">
        <v>342</v>
      </c>
      <c r="BB42" s="276"/>
    </row>
    <row r="43" spans="1:54" ht="39.75" customHeight="1" x14ac:dyDescent="0.25">
      <c r="A43" s="109">
        <f t="shared" si="0"/>
        <v>31</v>
      </c>
      <c r="B43" s="110" t="e">
        <f>#REF!</f>
        <v>#REF!</v>
      </c>
      <c r="C43" s="111" t="e">
        <f>#REF!</f>
        <v>#REF!</v>
      </c>
      <c r="D43" s="112" t="e">
        <f>#REF!</f>
        <v>#REF!</v>
      </c>
      <c r="E43" s="113" t="e">
        <f>#REF!</f>
        <v>#REF!</v>
      </c>
      <c r="F43" s="323" t="s">
        <v>129</v>
      </c>
      <c r="G43" s="335" t="s">
        <v>376</v>
      </c>
      <c r="H43" s="80" t="s">
        <v>382</v>
      </c>
      <c r="I43" s="80" t="s">
        <v>377</v>
      </c>
      <c r="J43" s="86" t="s">
        <v>376</v>
      </c>
      <c r="K43" s="82" t="s">
        <v>382</v>
      </c>
      <c r="L43" s="82" t="s">
        <v>377</v>
      </c>
      <c r="M43" s="85" t="s">
        <v>376</v>
      </c>
      <c r="N43" s="80" t="s">
        <v>382</v>
      </c>
      <c r="O43" s="80" t="s">
        <v>377</v>
      </c>
      <c r="P43" s="86" t="s">
        <v>376</v>
      </c>
      <c r="Q43" s="82" t="s">
        <v>382</v>
      </c>
      <c r="R43" s="82" t="s">
        <v>377</v>
      </c>
      <c r="S43" s="85" t="s">
        <v>376</v>
      </c>
      <c r="T43" s="80" t="s">
        <v>382</v>
      </c>
      <c r="U43" s="80" t="s">
        <v>377</v>
      </c>
      <c r="V43" s="86" t="s">
        <v>376</v>
      </c>
      <c r="W43" s="82" t="s">
        <v>382</v>
      </c>
      <c r="X43" s="82" t="s">
        <v>377</v>
      </c>
      <c r="Y43" s="85" t="s">
        <v>376</v>
      </c>
      <c r="Z43" s="80" t="s">
        <v>382</v>
      </c>
      <c r="AA43" s="80" t="s">
        <v>377</v>
      </c>
      <c r="AB43" s="86" t="s">
        <v>376</v>
      </c>
      <c r="AC43" s="82" t="s">
        <v>382</v>
      </c>
      <c r="AD43" s="82" t="s">
        <v>377</v>
      </c>
      <c r="AE43" s="85" t="s">
        <v>376</v>
      </c>
      <c r="AF43" s="80" t="s">
        <v>382</v>
      </c>
      <c r="AG43" s="80" t="s">
        <v>377</v>
      </c>
      <c r="AH43" s="86" t="s">
        <v>376</v>
      </c>
      <c r="AI43" s="82" t="s">
        <v>382</v>
      </c>
      <c r="AJ43" s="82" t="s">
        <v>377</v>
      </c>
      <c r="AK43" s="336" t="s">
        <v>376</v>
      </c>
      <c r="AL43" s="80" t="s">
        <v>382</v>
      </c>
      <c r="AM43" s="80" t="s">
        <v>377</v>
      </c>
      <c r="AN43" s="86" t="s">
        <v>376</v>
      </c>
      <c r="AO43" s="82" t="s">
        <v>382</v>
      </c>
      <c r="AP43" s="120" t="s">
        <v>377</v>
      </c>
      <c r="AQ43" s="337" t="s">
        <v>376</v>
      </c>
      <c r="AR43" s="329" t="s">
        <v>12</v>
      </c>
      <c r="AS43" s="80" t="s">
        <v>382</v>
      </c>
      <c r="AT43" s="330" t="s">
        <v>377</v>
      </c>
      <c r="AU43" s="338" t="s">
        <v>376</v>
      </c>
      <c r="AV43" s="332" t="s">
        <v>12</v>
      </c>
      <c r="AW43" s="82" t="s">
        <v>382</v>
      </c>
      <c r="AX43" s="333" t="s">
        <v>377</v>
      </c>
      <c r="AY43" s="334" t="s">
        <v>129</v>
      </c>
      <c r="AZ43" s="269">
        <v>44259</v>
      </c>
      <c r="BA43" s="270" t="s">
        <v>335</v>
      </c>
      <c r="BB43" s="276"/>
    </row>
    <row r="44" spans="1:54" ht="39.75" customHeight="1" x14ac:dyDescent="0.25">
      <c r="A44" s="109">
        <f t="shared" si="0"/>
        <v>32</v>
      </c>
      <c r="B44" s="110" t="e">
        <f>#REF!</f>
        <v>#REF!</v>
      </c>
      <c r="C44" s="111" t="e">
        <f>#REF!</f>
        <v>#REF!</v>
      </c>
      <c r="D44" s="112" t="e">
        <f>#REF!</f>
        <v>#REF!</v>
      </c>
      <c r="E44" s="113" t="e">
        <f>#REF!</f>
        <v>#REF!</v>
      </c>
      <c r="F44" s="323" t="s">
        <v>230</v>
      </c>
      <c r="G44" s="324" t="s">
        <v>376</v>
      </c>
      <c r="H44" s="80" t="s">
        <v>384</v>
      </c>
      <c r="I44" s="80" t="s">
        <v>380</v>
      </c>
      <c r="J44" s="81" t="s">
        <v>376</v>
      </c>
      <c r="K44" s="82" t="s">
        <v>384</v>
      </c>
      <c r="L44" s="82" t="s">
        <v>380</v>
      </c>
      <c r="M44" s="84" t="s">
        <v>376</v>
      </c>
      <c r="N44" s="80" t="s">
        <v>384</v>
      </c>
      <c r="O44" s="80" t="s">
        <v>380</v>
      </c>
      <c r="P44" s="81" t="s">
        <v>376</v>
      </c>
      <c r="Q44" s="82" t="s">
        <v>384</v>
      </c>
      <c r="R44" s="82" t="s">
        <v>380</v>
      </c>
      <c r="S44" s="84" t="s">
        <v>376</v>
      </c>
      <c r="T44" s="80" t="s">
        <v>384</v>
      </c>
      <c r="U44" s="80" t="s">
        <v>380</v>
      </c>
      <c r="V44" s="81" t="s">
        <v>376</v>
      </c>
      <c r="W44" s="82" t="s">
        <v>384</v>
      </c>
      <c r="X44" s="82" t="s">
        <v>380</v>
      </c>
      <c r="Y44" s="84" t="s">
        <v>376</v>
      </c>
      <c r="Z44" s="80" t="s">
        <v>384</v>
      </c>
      <c r="AA44" s="80" t="s">
        <v>380</v>
      </c>
      <c r="AB44" s="81" t="s">
        <v>376</v>
      </c>
      <c r="AC44" s="82" t="s">
        <v>384</v>
      </c>
      <c r="AD44" s="82" t="s">
        <v>380</v>
      </c>
      <c r="AE44" s="84" t="s">
        <v>376</v>
      </c>
      <c r="AF44" s="80" t="s">
        <v>384</v>
      </c>
      <c r="AG44" s="80" t="s">
        <v>380</v>
      </c>
      <c r="AH44" s="81" t="s">
        <v>376</v>
      </c>
      <c r="AI44" s="82" t="s">
        <v>384</v>
      </c>
      <c r="AJ44" s="82" t="s">
        <v>380</v>
      </c>
      <c r="AK44" s="327" t="s">
        <v>376</v>
      </c>
      <c r="AL44" s="80" t="s">
        <v>384</v>
      </c>
      <c r="AM44" s="80" t="s">
        <v>380</v>
      </c>
      <c r="AN44" s="81" t="s">
        <v>376</v>
      </c>
      <c r="AO44" s="82" t="s">
        <v>384</v>
      </c>
      <c r="AP44" s="120" t="s">
        <v>380</v>
      </c>
      <c r="AQ44" s="328" t="s">
        <v>376</v>
      </c>
      <c r="AR44" s="329" t="s">
        <v>12</v>
      </c>
      <c r="AS44" s="80" t="s">
        <v>384</v>
      </c>
      <c r="AT44" s="330" t="s">
        <v>380</v>
      </c>
      <c r="AU44" s="331" t="s">
        <v>376</v>
      </c>
      <c r="AV44" s="332" t="s">
        <v>12</v>
      </c>
      <c r="AW44" s="82" t="s">
        <v>384</v>
      </c>
      <c r="AX44" s="333" t="s">
        <v>380</v>
      </c>
      <c r="AY44" s="334" t="s">
        <v>230</v>
      </c>
      <c r="AZ44" s="269">
        <v>44291</v>
      </c>
      <c r="BA44" s="275" t="s">
        <v>342</v>
      </c>
      <c r="BB44" s="276"/>
    </row>
    <row r="45" spans="1:54" ht="39.75" customHeight="1" x14ac:dyDescent="0.25">
      <c r="A45" s="109">
        <f t="shared" si="0"/>
        <v>33</v>
      </c>
      <c r="B45" s="110" t="e">
        <f>#REF!</f>
        <v>#REF!</v>
      </c>
      <c r="C45" s="111" t="e">
        <f>#REF!</f>
        <v>#REF!</v>
      </c>
      <c r="D45" s="112" t="e">
        <f>#REF!</f>
        <v>#REF!</v>
      </c>
      <c r="E45" s="113" t="e">
        <f>#REF!</f>
        <v>#REF!</v>
      </c>
      <c r="F45" s="323" t="s">
        <v>129</v>
      </c>
      <c r="G45" s="324" t="s">
        <v>378</v>
      </c>
      <c r="H45" s="80" t="s">
        <v>111</v>
      </c>
      <c r="I45" s="80" t="s">
        <v>383</v>
      </c>
      <c r="J45" s="81" t="s">
        <v>378</v>
      </c>
      <c r="K45" s="82" t="s">
        <v>111</v>
      </c>
      <c r="L45" s="82" t="s">
        <v>383</v>
      </c>
      <c r="M45" s="84" t="s">
        <v>378</v>
      </c>
      <c r="N45" s="80" t="s">
        <v>111</v>
      </c>
      <c r="O45" s="80" t="s">
        <v>383</v>
      </c>
      <c r="P45" s="81" t="s">
        <v>378</v>
      </c>
      <c r="Q45" s="82" t="s">
        <v>111</v>
      </c>
      <c r="R45" s="82" t="s">
        <v>383</v>
      </c>
      <c r="S45" s="84" t="s">
        <v>378</v>
      </c>
      <c r="T45" s="80" t="s">
        <v>111</v>
      </c>
      <c r="U45" s="80" t="s">
        <v>383</v>
      </c>
      <c r="V45" s="81" t="s">
        <v>378</v>
      </c>
      <c r="W45" s="82" t="s">
        <v>111</v>
      </c>
      <c r="X45" s="82" t="s">
        <v>383</v>
      </c>
      <c r="Y45" s="84" t="s">
        <v>378</v>
      </c>
      <c r="Z45" s="80" t="s">
        <v>111</v>
      </c>
      <c r="AA45" s="80" t="s">
        <v>383</v>
      </c>
      <c r="AB45" s="81" t="s">
        <v>378</v>
      </c>
      <c r="AC45" s="82" t="s">
        <v>111</v>
      </c>
      <c r="AD45" s="82" t="s">
        <v>383</v>
      </c>
      <c r="AE45" s="84" t="s">
        <v>378</v>
      </c>
      <c r="AF45" s="80" t="s">
        <v>111</v>
      </c>
      <c r="AG45" s="80" t="s">
        <v>383</v>
      </c>
      <c r="AH45" s="81" t="s">
        <v>378</v>
      </c>
      <c r="AI45" s="82" t="s">
        <v>111</v>
      </c>
      <c r="AJ45" s="82" t="s">
        <v>383</v>
      </c>
      <c r="AK45" s="327" t="s">
        <v>378</v>
      </c>
      <c r="AL45" s="80" t="s">
        <v>111</v>
      </c>
      <c r="AM45" s="80" t="s">
        <v>383</v>
      </c>
      <c r="AN45" s="81" t="s">
        <v>378</v>
      </c>
      <c r="AO45" s="82" t="s">
        <v>111</v>
      </c>
      <c r="AP45" s="120" t="s">
        <v>383</v>
      </c>
      <c r="AQ45" s="328" t="s">
        <v>378</v>
      </c>
      <c r="AR45" s="329" t="s">
        <v>12</v>
      </c>
      <c r="AS45" s="80" t="s">
        <v>111</v>
      </c>
      <c r="AT45" s="330" t="s">
        <v>383</v>
      </c>
      <c r="AU45" s="331" t="s">
        <v>378</v>
      </c>
      <c r="AV45" s="332" t="s">
        <v>12</v>
      </c>
      <c r="AW45" s="82" t="s">
        <v>111</v>
      </c>
      <c r="AX45" s="333" t="s">
        <v>383</v>
      </c>
      <c r="AY45" s="334" t="s">
        <v>129</v>
      </c>
      <c r="AZ45" s="269">
        <v>44319</v>
      </c>
      <c r="BA45" s="275" t="s">
        <v>344</v>
      </c>
      <c r="BB45" s="276"/>
    </row>
    <row r="46" spans="1:54" ht="39.75" customHeight="1" x14ac:dyDescent="0.25">
      <c r="A46" s="109">
        <f t="shared" si="0"/>
        <v>34</v>
      </c>
      <c r="B46" s="110" t="e">
        <f>#REF!</f>
        <v>#REF!</v>
      </c>
      <c r="C46" s="111" t="e">
        <f>#REF!</f>
        <v>#REF!</v>
      </c>
      <c r="D46" s="112" t="e">
        <f>#REF!</f>
        <v>#REF!</v>
      </c>
      <c r="E46" s="113" t="e">
        <f>#REF!</f>
        <v>#REF!</v>
      </c>
      <c r="F46" s="323" t="s">
        <v>230</v>
      </c>
      <c r="G46" s="324" t="s">
        <v>381</v>
      </c>
      <c r="H46" s="80" t="s">
        <v>379</v>
      </c>
      <c r="I46" s="80" t="s">
        <v>385</v>
      </c>
      <c r="J46" s="81" t="s">
        <v>381</v>
      </c>
      <c r="K46" s="82" t="s">
        <v>379</v>
      </c>
      <c r="L46" s="82" t="s">
        <v>385</v>
      </c>
      <c r="M46" s="84" t="s">
        <v>381</v>
      </c>
      <c r="N46" s="80" t="s">
        <v>379</v>
      </c>
      <c r="O46" s="80" t="s">
        <v>385</v>
      </c>
      <c r="P46" s="81" t="s">
        <v>381</v>
      </c>
      <c r="Q46" s="82" t="s">
        <v>379</v>
      </c>
      <c r="R46" s="82" t="s">
        <v>385</v>
      </c>
      <c r="S46" s="84" t="s">
        <v>381</v>
      </c>
      <c r="T46" s="80" t="s">
        <v>379</v>
      </c>
      <c r="U46" s="80" t="s">
        <v>385</v>
      </c>
      <c r="V46" s="81" t="s">
        <v>381</v>
      </c>
      <c r="W46" s="82" t="s">
        <v>379</v>
      </c>
      <c r="X46" s="82" t="s">
        <v>385</v>
      </c>
      <c r="Y46" s="84" t="s">
        <v>381</v>
      </c>
      <c r="Z46" s="80" t="s">
        <v>379</v>
      </c>
      <c r="AA46" s="80" t="s">
        <v>385</v>
      </c>
      <c r="AB46" s="81" t="s">
        <v>381</v>
      </c>
      <c r="AC46" s="82" t="s">
        <v>379</v>
      </c>
      <c r="AD46" s="82" t="s">
        <v>385</v>
      </c>
      <c r="AE46" s="84" t="s">
        <v>381</v>
      </c>
      <c r="AF46" s="80" t="s">
        <v>379</v>
      </c>
      <c r="AG46" s="80" t="s">
        <v>385</v>
      </c>
      <c r="AH46" s="81" t="s">
        <v>381</v>
      </c>
      <c r="AI46" s="82" t="s">
        <v>379</v>
      </c>
      <c r="AJ46" s="82" t="s">
        <v>385</v>
      </c>
      <c r="AK46" s="327" t="s">
        <v>381</v>
      </c>
      <c r="AL46" s="80" t="s">
        <v>379</v>
      </c>
      <c r="AM46" s="80" t="s">
        <v>385</v>
      </c>
      <c r="AN46" s="81" t="s">
        <v>381</v>
      </c>
      <c r="AO46" s="82" t="s">
        <v>379</v>
      </c>
      <c r="AP46" s="120" t="s">
        <v>385</v>
      </c>
      <c r="AQ46" s="328" t="s">
        <v>381</v>
      </c>
      <c r="AR46" s="329" t="s">
        <v>12</v>
      </c>
      <c r="AS46" s="80" t="s">
        <v>379</v>
      </c>
      <c r="AT46" s="330" t="s">
        <v>385</v>
      </c>
      <c r="AU46" s="331" t="s">
        <v>381</v>
      </c>
      <c r="AV46" s="332" t="s">
        <v>12</v>
      </c>
      <c r="AW46" s="82" t="s">
        <v>379</v>
      </c>
      <c r="AX46" s="333" t="s">
        <v>385</v>
      </c>
      <c r="AY46" s="334" t="s">
        <v>230</v>
      </c>
      <c r="AZ46" s="269">
        <v>44351</v>
      </c>
      <c r="BA46" s="275" t="s">
        <v>346</v>
      </c>
      <c r="BB46" s="276"/>
    </row>
    <row r="47" spans="1:54" ht="39.75" customHeight="1" x14ac:dyDescent="0.25">
      <c r="A47" s="109">
        <f t="shared" si="0"/>
        <v>35</v>
      </c>
      <c r="B47" s="110" t="e">
        <f>#REF!</f>
        <v>#REF!</v>
      </c>
      <c r="C47" s="111" t="e">
        <f>#REF!</f>
        <v>#REF!</v>
      </c>
      <c r="D47" s="112" t="e">
        <f>#REF!</f>
        <v>#REF!</v>
      </c>
      <c r="E47" s="113" t="e">
        <f>#REF!</f>
        <v>#REF!</v>
      </c>
      <c r="F47" s="323" t="s">
        <v>129</v>
      </c>
      <c r="G47" s="324" t="s">
        <v>376</v>
      </c>
      <c r="H47" s="80" t="s">
        <v>382</v>
      </c>
      <c r="I47" s="80" t="s">
        <v>386</v>
      </c>
      <c r="J47" s="81" t="s">
        <v>376</v>
      </c>
      <c r="K47" s="82" t="s">
        <v>382</v>
      </c>
      <c r="L47" s="82" t="s">
        <v>386</v>
      </c>
      <c r="M47" s="84" t="s">
        <v>376</v>
      </c>
      <c r="N47" s="80" t="s">
        <v>382</v>
      </c>
      <c r="O47" s="80" t="s">
        <v>386</v>
      </c>
      <c r="P47" s="81" t="s">
        <v>376</v>
      </c>
      <c r="Q47" s="82" t="s">
        <v>382</v>
      </c>
      <c r="R47" s="82" t="s">
        <v>386</v>
      </c>
      <c r="S47" s="84" t="s">
        <v>376</v>
      </c>
      <c r="T47" s="80" t="s">
        <v>382</v>
      </c>
      <c r="U47" s="80" t="s">
        <v>386</v>
      </c>
      <c r="V47" s="81" t="s">
        <v>376</v>
      </c>
      <c r="W47" s="82" t="s">
        <v>382</v>
      </c>
      <c r="X47" s="82" t="s">
        <v>386</v>
      </c>
      <c r="Y47" s="84" t="s">
        <v>376</v>
      </c>
      <c r="Z47" s="80" t="s">
        <v>382</v>
      </c>
      <c r="AA47" s="80" t="s">
        <v>386</v>
      </c>
      <c r="AB47" s="81" t="s">
        <v>376</v>
      </c>
      <c r="AC47" s="82" t="s">
        <v>382</v>
      </c>
      <c r="AD47" s="82" t="s">
        <v>386</v>
      </c>
      <c r="AE47" s="84" t="s">
        <v>376</v>
      </c>
      <c r="AF47" s="80" t="s">
        <v>382</v>
      </c>
      <c r="AG47" s="80" t="s">
        <v>386</v>
      </c>
      <c r="AH47" s="81" t="s">
        <v>376</v>
      </c>
      <c r="AI47" s="82" t="s">
        <v>382</v>
      </c>
      <c r="AJ47" s="82" t="s">
        <v>386</v>
      </c>
      <c r="AK47" s="327" t="s">
        <v>376</v>
      </c>
      <c r="AL47" s="80" t="s">
        <v>382</v>
      </c>
      <c r="AM47" s="80" t="s">
        <v>386</v>
      </c>
      <c r="AN47" s="81" t="s">
        <v>376</v>
      </c>
      <c r="AO47" s="82" t="s">
        <v>382</v>
      </c>
      <c r="AP47" s="120" t="s">
        <v>386</v>
      </c>
      <c r="AQ47" s="328" t="s">
        <v>376</v>
      </c>
      <c r="AR47" s="329" t="s">
        <v>12</v>
      </c>
      <c r="AS47" s="80" t="s">
        <v>382</v>
      </c>
      <c r="AT47" s="330" t="s">
        <v>386</v>
      </c>
      <c r="AU47" s="331" t="s">
        <v>376</v>
      </c>
      <c r="AV47" s="332" t="s">
        <v>12</v>
      </c>
      <c r="AW47" s="82" t="s">
        <v>382</v>
      </c>
      <c r="AX47" s="333" t="s">
        <v>386</v>
      </c>
      <c r="AY47" s="334" t="s">
        <v>129</v>
      </c>
      <c r="AZ47" s="269">
        <v>44379</v>
      </c>
      <c r="BA47" s="270" t="s">
        <v>335</v>
      </c>
      <c r="BB47" s="276"/>
    </row>
    <row r="48" spans="1:54" ht="39.75" customHeight="1" x14ac:dyDescent="0.25">
      <c r="A48" s="109">
        <f t="shared" si="0"/>
        <v>36</v>
      </c>
      <c r="B48" s="110" t="e">
        <f>#REF!</f>
        <v>#REF!</v>
      </c>
      <c r="C48" s="111" t="e">
        <f>#REF!</f>
        <v>#REF!</v>
      </c>
      <c r="D48" s="112" t="e">
        <f>#REF!</f>
        <v>#REF!</v>
      </c>
      <c r="E48" s="113" t="e">
        <f>#REF!</f>
        <v>#REF!</v>
      </c>
      <c r="F48" s="323" t="s">
        <v>230</v>
      </c>
      <c r="G48" s="324" t="s">
        <v>378</v>
      </c>
      <c r="H48" s="80" t="s">
        <v>384</v>
      </c>
      <c r="I48" s="80" t="s">
        <v>377</v>
      </c>
      <c r="J48" s="81" t="s">
        <v>378</v>
      </c>
      <c r="K48" s="82" t="s">
        <v>384</v>
      </c>
      <c r="L48" s="82" t="s">
        <v>377</v>
      </c>
      <c r="M48" s="84" t="s">
        <v>378</v>
      </c>
      <c r="N48" s="80" t="s">
        <v>384</v>
      </c>
      <c r="O48" s="80" t="s">
        <v>377</v>
      </c>
      <c r="P48" s="81" t="s">
        <v>378</v>
      </c>
      <c r="Q48" s="82" t="s">
        <v>384</v>
      </c>
      <c r="R48" s="82" t="s">
        <v>377</v>
      </c>
      <c r="S48" s="84" t="s">
        <v>378</v>
      </c>
      <c r="T48" s="80" t="s">
        <v>384</v>
      </c>
      <c r="U48" s="80" t="s">
        <v>377</v>
      </c>
      <c r="V48" s="81" t="s">
        <v>378</v>
      </c>
      <c r="W48" s="82" t="s">
        <v>384</v>
      </c>
      <c r="X48" s="82" t="s">
        <v>377</v>
      </c>
      <c r="Y48" s="84" t="s">
        <v>378</v>
      </c>
      <c r="Z48" s="80" t="s">
        <v>384</v>
      </c>
      <c r="AA48" s="80" t="s">
        <v>377</v>
      </c>
      <c r="AB48" s="81" t="s">
        <v>378</v>
      </c>
      <c r="AC48" s="82" t="s">
        <v>384</v>
      </c>
      <c r="AD48" s="82" t="s">
        <v>377</v>
      </c>
      <c r="AE48" s="84" t="s">
        <v>378</v>
      </c>
      <c r="AF48" s="80" t="s">
        <v>384</v>
      </c>
      <c r="AG48" s="80" t="s">
        <v>377</v>
      </c>
      <c r="AH48" s="81" t="s">
        <v>378</v>
      </c>
      <c r="AI48" s="82" t="s">
        <v>384</v>
      </c>
      <c r="AJ48" s="82" t="s">
        <v>377</v>
      </c>
      <c r="AK48" s="327" t="s">
        <v>378</v>
      </c>
      <c r="AL48" s="80" t="s">
        <v>384</v>
      </c>
      <c r="AM48" s="80" t="s">
        <v>377</v>
      </c>
      <c r="AN48" s="81" t="s">
        <v>378</v>
      </c>
      <c r="AO48" s="82" t="s">
        <v>384</v>
      </c>
      <c r="AP48" s="120" t="s">
        <v>377</v>
      </c>
      <c r="AQ48" s="328" t="s">
        <v>378</v>
      </c>
      <c r="AR48" s="329" t="s">
        <v>12</v>
      </c>
      <c r="AS48" s="80" t="s">
        <v>384</v>
      </c>
      <c r="AT48" s="330" t="s">
        <v>377</v>
      </c>
      <c r="AU48" s="331" t="s">
        <v>378</v>
      </c>
      <c r="AV48" s="332" t="s">
        <v>12</v>
      </c>
      <c r="AW48" s="82" t="s">
        <v>384</v>
      </c>
      <c r="AX48" s="333" t="s">
        <v>377</v>
      </c>
      <c r="AY48" s="334" t="s">
        <v>230</v>
      </c>
      <c r="AZ48" s="269">
        <v>44412</v>
      </c>
      <c r="BA48" s="275" t="s">
        <v>342</v>
      </c>
      <c r="BB48" s="276"/>
    </row>
    <row r="49" spans="1:54" ht="39.75" customHeight="1" x14ac:dyDescent="0.25">
      <c r="A49" s="109">
        <f t="shared" si="0"/>
        <v>37</v>
      </c>
      <c r="B49" s="110" t="e">
        <f>#REF!</f>
        <v>#REF!</v>
      </c>
      <c r="C49" s="111" t="e">
        <f>#REF!</f>
        <v>#REF!</v>
      </c>
      <c r="D49" s="112" t="e">
        <f>#REF!</f>
        <v>#REF!</v>
      </c>
      <c r="E49" s="113" t="e">
        <f>#REF!</f>
        <v>#REF!</v>
      </c>
      <c r="F49" s="323" t="s">
        <v>129</v>
      </c>
      <c r="G49" s="324" t="s">
        <v>381</v>
      </c>
      <c r="H49" s="80" t="s">
        <v>111</v>
      </c>
      <c r="I49" s="80" t="s">
        <v>380</v>
      </c>
      <c r="J49" s="81" t="s">
        <v>381</v>
      </c>
      <c r="K49" s="82" t="s">
        <v>111</v>
      </c>
      <c r="L49" s="82" t="s">
        <v>380</v>
      </c>
      <c r="M49" s="84" t="s">
        <v>381</v>
      </c>
      <c r="N49" s="80" t="s">
        <v>111</v>
      </c>
      <c r="O49" s="80" t="s">
        <v>380</v>
      </c>
      <c r="P49" s="81" t="s">
        <v>381</v>
      </c>
      <c r="Q49" s="82" t="s">
        <v>111</v>
      </c>
      <c r="R49" s="82" t="s">
        <v>380</v>
      </c>
      <c r="S49" s="84" t="s">
        <v>381</v>
      </c>
      <c r="T49" s="80" t="s">
        <v>111</v>
      </c>
      <c r="U49" s="80" t="s">
        <v>380</v>
      </c>
      <c r="V49" s="81" t="s">
        <v>381</v>
      </c>
      <c r="W49" s="82" t="s">
        <v>111</v>
      </c>
      <c r="X49" s="82" t="s">
        <v>380</v>
      </c>
      <c r="Y49" s="84" t="s">
        <v>381</v>
      </c>
      <c r="Z49" s="80" t="s">
        <v>111</v>
      </c>
      <c r="AA49" s="80" t="s">
        <v>380</v>
      </c>
      <c r="AB49" s="81" t="s">
        <v>381</v>
      </c>
      <c r="AC49" s="82" t="s">
        <v>111</v>
      </c>
      <c r="AD49" s="82" t="s">
        <v>380</v>
      </c>
      <c r="AE49" s="84" t="s">
        <v>381</v>
      </c>
      <c r="AF49" s="80" t="s">
        <v>111</v>
      </c>
      <c r="AG49" s="80" t="s">
        <v>380</v>
      </c>
      <c r="AH49" s="81" t="s">
        <v>381</v>
      </c>
      <c r="AI49" s="82" t="s">
        <v>111</v>
      </c>
      <c r="AJ49" s="82" t="s">
        <v>380</v>
      </c>
      <c r="AK49" s="327" t="s">
        <v>381</v>
      </c>
      <c r="AL49" s="80" t="s">
        <v>111</v>
      </c>
      <c r="AM49" s="80" t="s">
        <v>380</v>
      </c>
      <c r="AN49" s="81" t="s">
        <v>381</v>
      </c>
      <c r="AO49" s="82" t="s">
        <v>111</v>
      </c>
      <c r="AP49" s="120" t="s">
        <v>380</v>
      </c>
      <c r="AQ49" s="328" t="s">
        <v>381</v>
      </c>
      <c r="AR49" s="329" t="s">
        <v>12</v>
      </c>
      <c r="AS49" s="80" t="s">
        <v>111</v>
      </c>
      <c r="AT49" s="330" t="s">
        <v>380</v>
      </c>
      <c r="AU49" s="331" t="s">
        <v>381</v>
      </c>
      <c r="AV49" s="332" t="s">
        <v>12</v>
      </c>
      <c r="AW49" s="82" t="s">
        <v>111</v>
      </c>
      <c r="AX49" s="333" t="s">
        <v>380</v>
      </c>
      <c r="AY49" s="334" t="s">
        <v>129</v>
      </c>
      <c r="AZ49" s="269">
        <v>44077</v>
      </c>
      <c r="BA49" s="275" t="s">
        <v>344</v>
      </c>
      <c r="BB49" s="276"/>
    </row>
    <row r="50" spans="1:54" ht="39.75" customHeight="1" x14ac:dyDescent="0.25">
      <c r="A50" s="109">
        <f t="shared" si="0"/>
        <v>38</v>
      </c>
      <c r="B50" s="110" t="e">
        <f>#REF!</f>
        <v>#REF!</v>
      </c>
      <c r="C50" s="111" t="e">
        <f>#REF!</f>
        <v>#REF!</v>
      </c>
      <c r="D50" s="112" t="e">
        <f>#REF!</f>
        <v>#REF!</v>
      </c>
      <c r="E50" s="113" t="e">
        <f>#REF!</f>
        <v>#REF!</v>
      </c>
      <c r="F50" s="323" t="s">
        <v>230</v>
      </c>
      <c r="G50" s="324" t="s">
        <v>376</v>
      </c>
      <c r="H50" s="80" t="s">
        <v>379</v>
      </c>
      <c r="I50" s="80" t="s">
        <v>383</v>
      </c>
      <c r="J50" s="81" t="s">
        <v>376</v>
      </c>
      <c r="K50" s="82" t="s">
        <v>379</v>
      </c>
      <c r="L50" s="82" t="s">
        <v>383</v>
      </c>
      <c r="M50" s="84" t="s">
        <v>376</v>
      </c>
      <c r="N50" s="80" t="s">
        <v>379</v>
      </c>
      <c r="O50" s="80" t="s">
        <v>383</v>
      </c>
      <c r="P50" s="81" t="s">
        <v>376</v>
      </c>
      <c r="Q50" s="82" t="s">
        <v>379</v>
      </c>
      <c r="R50" s="82" t="s">
        <v>383</v>
      </c>
      <c r="S50" s="84" t="s">
        <v>376</v>
      </c>
      <c r="T50" s="80" t="s">
        <v>379</v>
      </c>
      <c r="U50" s="80" t="s">
        <v>383</v>
      </c>
      <c r="V50" s="81" t="s">
        <v>376</v>
      </c>
      <c r="W50" s="82" t="s">
        <v>379</v>
      </c>
      <c r="X50" s="82" t="s">
        <v>383</v>
      </c>
      <c r="Y50" s="84" t="s">
        <v>376</v>
      </c>
      <c r="Z50" s="80" t="s">
        <v>379</v>
      </c>
      <c r="AA50" s="80" t="s">
        <v>383</v>
      </c>
      <c r="AB50" s="81" t="s">
        <v>376</v>
      </c>
      <c r="AC50" s="82" t="s">
        <v>379</v>
      </c>
      <c r="AD50" s="82" t="s">
        <v>383</v>
      </c>
      <c r="AE50" s="84" t="s">
        <v>376</v>
      </c>
      <c r="AF50" s="80" t="s">
        <v>379</v>
      </c>
      <c r="AG50" s="80" t="s">
        <v>383</v>
      </c>
      <c r="AH50" s="81" t="s">
        <v>376</v>
      </c>
      <c r="AI50" s="82" t="s">
        <v>379</v>
      </c>
      <c r="AJ50" s="82" t="s">
        <v>383</v>
      </c>
      <c r="AK50" s="327" t="s">
        <v>376</v>
      </c>
      <c r="AL50" s="80" t="s">
        <v>379</v>
      </c>
      <c r="AM50" s="80" t="s">
        <v>383</v>
      </c>
      <c r="AN50" s="81" t="s">
        <v>376</v>
      </c>
      <c r="AO50" s="82" t="s">
        <v>379</v>
      </c>
      <c r="AP50" s="120" t="s">
        <v>383</v>
      </c>
      <c r="AQ50" s="328" t="s">
        <v>376</v>
      </c>
      <c r="AR50" s="329" t="s">
        <v>12</v>
      </c>
      <c r="AS50" s="80" t="s">
        <v>379</v>
      </c>
      <c r="AT50" s="330" t="s">
        <v>383</v>
      </c>
      <c r="AU50" s="331" t="s">
        <v>376</v>
      </c>
      <c r="AV50" s="332" t="s">
        <v>12</v>
      </c>
      <c r="AW50" s="82" t="s">
        <v>379</v>
      </c>
      <c r="AX50" s="333" t="s">
        <v>383</v>
      </c>
      <c r="AY50" s="334" t="s">
        <v>230</v>
      </c>
      <c r="AZ50" s="269">
        <v>44077</v>
      </c>
      <c r="BA50" s="275" t="s">
        <v>346</v>
      </c>
      <c r="BB50" s="276"/>
    </row>
    <row r="51" spans="1:54" ht="39.75" customHeight="1" x14ac:dyDescent="0.25">
      <c r="A51" s="109">
        <f t="shared" si="0"/>
        <v>39</v>
      </c>
      <c r="B51" s="110" t="e">
        <f>#REF!</f>
        <v>#REF!</v>
      </c>
      <c r="C51" s="111" t="e">
        <f>#REF!</f>
        <v>#REF!</v>
      </c>
      <c r="D51" s="112" t="e">
        <f>#REF!</f>
        <v>#REF!</v>
      </c>
      <c r="E51" s="113" t="e">
        <f>#REF!</f>
        <v>#REF!</v>
      </c>
      <c r="F51" s="323" t="s">
        <v>129</v>
      </c>
      <c r="G51" s="324" t="s">
        <v>378</v>
      </c>
      <c r="H51" s="80" t="s">
        <v>382</v>
      </c>
      <c r="I51" s="80" t="s">
        <v>385</v>
      </c>
      <c r="J51" s="81" t="s">
        <v>378</v>
      </c>
      <c r="K51" s="82" t="s">
        <v>382</v>
      </c>
      <c r="L51" s="82" t="s">
        <v>385</v>
      </c>
      <c r="M51" s="84" t="s">
        <v>378</v>
      </c>
      <c r="N51" s="80" t="s">
        <v>382</v>
      </c>
      <c r="O51" s="80" t="s">
        <v>385</v>
      </c>
      <c r="P51" s="81" t="s">
        <v>378</v>
      </c>
      <c r="Q51" s="82" t="s">
        <v>382</v>
      </c>
      <c r="R51" s="82" t="s">
        <v>385</v>
      </c>
      <c r="S51" s="84" t="s">
        <v>378</v>
      </c>
      <c r="T51" s="80" t="s">
        <v>382</v>
      </c>
      <c r="U51" s="80" t="s">
        <v>385</v>
      </c>
      <c r="V51" s="81" t="s">
        <v>378</v>
      </c>
      <c r="W51" s="82" t="s">
        <v>382</v>
      </c>
      <c r="X51" s="82" t="s">
        <v>385</v>
      </c>
      <c r="Y51" s="84" t="s">
        <v>378</v>
      </c>
      <c r="Z51" s="80" t="s">
        <v>382</v>
      </c>
      <c r="AA51" s="80" t="s">
        <v>385</v>
      </c>
      <c r="AB51" s="81" t="s">
        <v>378</v>
      </c>
      <c r="AC51" s="82" t="s">
        <v>382</v>
      </c>
      <c r="AD51" s="82" t="s">
        <v>385</v>
      </c>
      <c r="AE51" s="84" t="s">
        <v>378</v>
      </c>
      <c r="AF51" s="80" t="s">
        <v>382</v>
      </c>
      <c r="AG51" s="80" t="s">
        <v>385</v>
      </c>
      <c r="AH51" s="81" t="s">
        <v>378</v>
      </c>
      <c r="AI51" s="82" t="s">
        <v>382</v>
      </c>
      <c r="AJ51" s="82" t="s">
        <v>385</v>
      </c>
      <c r="AK51" s="327" t="s">
        <v>378</v>
      </c>
      <c r="AL51" s="80" t="s">
        <v>382</v>
      </c>
      <c r="AM51" s="80" t="s">
        <v>385</v>
      </c>
      <c r="AN51" s="81" t="s">
        <v>378</v>
      </c>
      <c r="AO51" s="82" t="s">
        <v>382</v>
      </c>
      <c r="AP51" s="120" t="s">
        <v>385</v>
      </c>
      <c r="AQ51" s="328" t="s">
        <v>378</v>
      </c>
      <c r="AR51" s="329" t="s">
        <v>12</v>
      </c>
      <c r="AS51" s="80" t="s">
        <v>382</v>
      </c>
      <c r="AT51" s="330" t="s">
        <v>385</v>
      </c>
      <c r="AU51" s="331" t="s">
        <v>378</v>
      </c>
      <c r="AV51" s="332" t="s">
        <v>12</v>
      </c>
      <c r="AW51" s="82" t="s">
        <v>382</v>
      </c>
      <c r="AX51" s="333" t="s">
        <v>385</v>
      </c>
      <c r="AY51" s="334" t="s">
        <v>129</v>
      </c>
      <c r="AZ51" s="269">
        <v>44137</v>
      </c>
      <c r="BA51" s="270" t="s">
        <v>335</v>
      </c>
      <c r="BB51" s="276"/>
    </row>
    <row r="52" spans="1:54" ht="39.75" customHeight="1" x14ac:dyDescent="0.25">
      <c r="A52" s="109">
        <f t="shared" si="0"/>
        <v>40</v>
      </c>
      <c r="B52" s="110" t="e">
        <f>#REF!</f>
        <v>#REF!</v>
      </c>
      <c r="C52" s="111" t="e">
        <f>#REF!</f>
        <v>#REF!</v>
      </c>
      <c r="D52" s="112" t="e">
        <f>#REF!</f>
        <v>#REF!</v>
      </c>
      <c r="E52" s="113" t="e">
        <f>#REF!</f>
        <v>#REF!</v>
      </c>
      <c r="F52" s="323" t="s">
        <v>230</v>
      </c>
      <c r="G52" s="324" t="s">
        <v>381</v>
      </c>
      <c r="H52" s="80" t="s">
        <v>384</v>
      </c>
      <c r="I52" s="80" t="s">
        <v>386</v>
      </c>
      <c r="J52" s="81" t="s">
        <v>381</v>
      </c>
      <c r="K52" s="82" t="s">
        <v>384</v>
      </c>
      <c r="L52" s="82" t="s">
        <v>386</v>
      </c>
      <c r="M52" s="84" t="s">
        <v>381</v>
      </c>
      <c r="N52" s="80" t="s">
        <v>384</v>
      </c>
      <c r="O52" s="80" t="s">
        <v>386</v>
      </c>
      <c r="P52" s="81" t="s">
        <v>381</v>
      </c>
      <c r="Q52" s="82" t="s">
        <v>384</v>
      </c>
      <c r="R52" s="82" t="s">
        <v>386</v>
      </c>
      <c r="S52" s="84" t="s">
        <v>381</v>
      </c>
      <c r="T52" s="80" t="s">
        <v>384</v>
      </c>
      <c r="U52" s="80" t="s">
        <v>386</v>
      </c>
      <c r="V52" s="81" t="s">
        <v>381</v>
      </c>
      <c r="W52" s="82" t="s">
        <v>384</v>
      </c>
      <c r="X52" s="82" t="s">
        <v>386</v>
      </c>
      <c r="Y52" s="84" t="s">
        <v>381</v>
      </c>
      <c r="Z52" s="80" t="s">
        <v>384</v>
      </c>
      <c r="AA52" s="80" t="s">
        <v>386</v>
      </c>
      <c r="AB52" s="81" t="s">
        <v>381</v>
      </c>
      <c r="AC52" s="82" t="s">
        <v>384</v>
      </c>
      <c r="AD52" s="82" t="s">
        <v>386</v>
      </c>
      <c r="AE52" s="84" t="s">
        <v>381</v>
      </c>
      <c r="AF52" s="80" t="s">
        <v>384</v>
      </c>
      <c r="AG52" s="80" t="s">
        <v>386</v>
      </c>
      <c r="AH52" s="81" t="s">
        <v>381</v>
      </c>
      <c r="AI52" s="82" t="s">
        <v>384</v>
      </c>
      <c r="AJ52" s="82" t="s">
        <v>386</v>
      </c>
      <c r="AK52" s="327" t="s">
        <v>381</v>
      </c>
      <c r="AL52" s="80" t="s">
        <v>384</v>
      </c>
      <c r="AM52" s="80" t="s">
        <v>386</v>
      </c>
      <c r="AN52" s="81" t="s">
        <v>381</v>
      </c>
      <c r="AO52" s="82" t="s">
        <v>384</v>
      </c>
      <c r="AP52" s="120" t="s">
        <v>386</v>
      </c>
      <c r="AQ52" s="328" t="s">
        <v>381</v>
      </c>
      <c r="AR52" s="329" t="s">
        <v>12</v>
      </c>
      <c r="AS52" s="80" t="s">
        <v>384</v>
      </c>
      <c r="AT52" s="330" t="s">
        <v>386</v>
      </c>
      <c r="AU52" s="331" t="s">
        <v>381</v>
      </c>
      <c r="AV52" s="332" t="s">
        <v>12</v>
      </c>
      <c r="AW52" s="82" t="s">
        <v>384</v>
      </c>
      <c r="AX52" s="333" t="s">
        <v>386</v>
      </c>
      <c r="AY52" s="334" t="s">
        <v>230</v>
      </c>
      <c r="AZ52" s="269">
        <v>44170</v>
      </c>
      <c r="BA52" s="275" t="s">
        <v>342</v>
      </c>
      <c r="BB52" s="276"/>
    </row>
    <row r="53" spans="1:54" ht="39.75" customHeight="1" x14ac:dyDescent="0.25">
      <c r="A53" s="109">
        <f t="shared" si="0"/>
        <v>41</v>
      </c>
      <c r="B53" s="110" t="e">
        <f>#REF!</f>
        <v>#REF!</v>
      </c>
      <c r="C53" s="111" t="e">
        <f>#REF!</f>
        <v>#REF!</v>
      </c>
      <c r="D53" s="112" t="e">
        <f>#REF!</f>
        <v>#REF!</v>
      </c>
      <c r="E53" s="113" t="e">
        <f>#REF!</f>
        <v>#REF!</v>
      </c>
      <c r="F53" s="323" t="s">
        <v>129</v>
      </c>
      <c r="G53" s="335" t="s">
        <v>376</v>
      </c>
      <c r="H53" s="80" t="s">
        <v>111</v>
      </c>
      <c r="I53" s="80" t="s">
        <v>377</v>
      </c>
      <c r="J53" s="86" t="s">
        <v>376</v>
      </c>
      <c r="K53" s="82" t="s">
        <v>111</v>
      </c>
      <c r="L53" s="82" t="s">
        <v>377</v>
      </c>
      <c r="M53" s="85" t="s">
        <v>376</v>
      </c>
      <c r="N53" s="80" t="s">
        <v>111</v>
      </c>
      <c r="O53" s="80" t="s">
        <v>377</v>
      </c>
      <c r="P53" s="86" t="s">
        <v>376</v>
      </c>
      <c r="Q53" s="82" t="s">
        <v>111</v>
      </c>
      <c r="R53" s="82" t="s">
        <v>377</v>
      </c>
      <c r="S53" s="85" t="s">
        <v>376</v>
      </c>
      <c r="T53" s="80" t="s">
        <v>111</v>
      </c>
      <c r="U53" s="80" t="s">
        <v>377</v>
      </c>
      <c r="V53" s="86" t="s">
        <v>376</v>
      </c>
      <c r="W53" s="82" t="s">
        <v>111</v>
      </c>
      <c r="X53" s="82" t="s">
        <v>377</v>
      </c>
      <c r="Y53" s="85" t="s">
        <v>376</v>
      </c>
      <c r="Z53" s="80" t="s">
        <v>111</v>
      </c>
      <c r="AA53" s="80" t="s">
        <v>377</v>
      </c>
      <c r="AB53" s="86" t="s">
        <v>376</v>
      </c>
      <c r="AC53" s="82" t="s">
        <v>111</v>
      </c>
      <c r="AD53" s="82" t="s">
        <v>377</v>
      </c>
      <c r="AE53" s="85" t="s">
        <v>376</v>
      </c>
      <c r="AF53" s="80" t="s">
        <v>111</v>
      </c>
      <c r="AG53" s="80" t="s">
        <v>377</v>
      </c>
      <c r="AH53" s="86" t="s">
        <v>376</v>
      </c>
      <c r="AI53" s="82" t="s">
        <v>111</v>
      </c>
      <c r="AJ53" s="82" t="s">
        <v>377</v>
      </c>
      <c r="AK53" s="336" t="s">
        <v>376</v>
      </c>
      <c r="AL53" s="80" t="s">
        <v>111</v>
      </c>
      <c r="AM53" s="80" t="s">
        <v>377</v>
      </c>
      <c r="AN53" s="86" t="s">
        <v>376</v>
      </c>
      <c r="AO53" s="82" t="s">
        <v>111</v>
      </c>
      <c r="AP53" s="120" t="s">
        <v>377</v>
      </c>
      <c r="AQ53" s="337" t="s">
        <v>376</v>
      </c>
      <c r="AR53" s="329" t="s">
        <v>12</v>
      </c>
      <c r="AS53" s="80" t="s">
        <v>111</v>
      </c>
      <c r="AT53" s="330" t="s">
        <v>377</v>
      </c>
      <c r="AU53" s="338" t="s">
        <v>376</v>
      </c>
      <c r="AV53" s="332" t="s">
        <v>12</v>
      </c>
      <c r="AW53" s="82" t="s">
        <v>111</v>
      </c>
      <c r="AX53" s="333" t="s">
        <v>377</v>
      </c>
      <c r="AY53" s="334" t="s">
        <v>129</v>
      </c>
      <c r="AZ53" s="269">
        <v>44201</v>
      </c>
      <c r="BA53" s="270" t="s">
        <v>335</v>
      </c>
      <c r="BB53" s="276"/>
    </row>
    <row r="54" spans="1:54" ht="39.75" customHeight="1" x14ac:dyDescent="0.25">
      <c r="A54" s="109">
        <f t="shared" si="0"/>
        <v>42</v>
      </c>
      <c r="B54" s="110" t="e">
        <f>#REF!</f>
        <v>#REF!</v>
      </c>
      <c r="C54" s="111" t="e">
        <f>#REF!</f>
        <v>#REF!</v>
      </c>
      <c r="D54" s="112" t="e">
        <f>#REF!</f>
        <v>#REF!</v>
      </c>
      <c r="E54" s="113" t="e">
        <f>#REF!</f>
        <v>#REF!</v>
      </c>
      <c r="F54" s="323" t="s">
        <v>230</v>
      </c>
      <c r="G54" s="324" t="s">
        <v>376</v>
      </c>
      <c r="H54" s="80" t="s">
        <v>379</v>
      </c>
      <c r="I54" s="80" t="s">
        <v>380</v>
      </c>
      <c r="J54" s="81" t="s">
        <v>376</v>
      </c>
      <c r="K54" s="82" t="s">
        <v>379</v>
      </c>
      <c r="L54" s="82" t="s">
        <v>380</v>
      </c>
      <c r="M54" s="84" t="s">
        <v>376</v>
      </c>
      <c r="N54" s="80" t="s">
        <v>379</v>
      </c>
      <c r="O54" s="80" t="s">
        <v>380</v>
      </c>
      <c r="P54" s="81" t="s">
        <v>376</v>
      </c>
      <c r="Q54" s="82" t="s">
        <v>379</v>
      </c>
      <c r="R54" s="82" t="s">
        <v>380</v>
      </c>
      <c r="S54" s="84" t="s">
        <v>376</v>
      </c>
      <c r="T54" s="80" t="s">
        <v>379</v>
      </c>
      <c r="U54" s="80" t="s">
        <v>380</v>
      </c>
      <c r="V54" s="81" t="s">
        <v>376</v>
      </c>
      <c r="W54" s="82" t="s">
        <v>379</v>
      </c>
      <c r="X54" s="82" t="s">
        <v>380</v>
      </c>
      <c r="Y54" s="84" t="s">
        <v>376</v>
      </c>
      <c r="Z54" s="80" t="s">
        <v>379</v>
      </c>
      <c r="AA54" s="80" t="s">
        <v>380</v>
      </c>
      <c r="AB54" s="81" t="s">
        <v>376</v>
      </c>
      <c r="AC54" s="82" t="s">
        <v>379</v>
      </c>
      <c r="AD54" s="82" t="s">
        <v>380</v>
      </c>
      <c r="AE54" s="84" t="s">
        <v>376</v>
      </c>
      <c r="AF54" s="80" t="s">
        <v>379</v>
      </c>
      <c r="AG54" s="80" t="s">
        <v>380</v>
      </c>
      <c r="AH54" s="81" t="s">
        <v>376</v>
      </c>
      <c r="AI54" s="82" t="s">
        <v>379</v>
      </c>
      <c r="AJ54" s="82" t="s">
        <v>380</v>
      </c>
      <c r="AK54" s="327" t="s">
        <v>376</v>
      </c>
      <c r="AL54" s="80" t="s">
        <v>379</v>
      </c>
      <c r="AM54" s="80" t="s">
        <v>380</v>
      </c>
      <c r="AN54" s="81" t="s">
        <v>376</v>
      </c>
      <c r="AO54" s="82" t="s">
        <v>379</v>
      </c>
      <c r="AP54" s="120" t="s">
        <v>380</v>
      </c>
      <c r="AQ54" s="328" t="s">
        <v>376</v>
      </c>
      <c r="AR54" s="329" t="s">
        <v>12</v>
      </c>
      <c r="AS54" s="80" t="s">
        <v>379</v>
      </c>
      <c r="AT54" s="330" t="s">
        <v>380</v>
      </c>
      <c r="AU54" s="331" t="s">
        <v>376</v>
      </c>
      <c r="AV54" s="332" t="s">
        <v>12</v>
      </c>
      <c r="AW54" s="82" t="s">
        <v>379</v>
      </c>
      <c r="AX54" s="333" t="s">
        <v>380</v>
      </c>
      <c r="AY54" s="334" t="s">
        <v>230</v>
      </c>
      <c r="AZ54" s="269">
        <v>44230</v>
      </c>
      <c r="BA54" s="275" t="s">
        <v>342</v>
      </c>
      <c r="BB54" s="276"/>
    </row>
    <row r="55" spans="1:54" ht="39.75" customHeight="1" x14ac:dyDescent="0.25">
      <c r="A55" s="109">
        <f t="shared" si="0"/>
        <v>43</v>
      </c>
      <c r="B55" s="110" t="e">
        <f>#REF!</f>
        <v>#REF!</v>
      </c>
      <c r="C55" s="111" t="e">
        <f>#REF!</f>
        <v>#REF!</v>
      </c>
      <c r="D55" s="112" t="e">
        <f>#REF!</f>
        <v>#REF!</v>
      </c>
      <c r="E55" s="113" t="e">
        <f>#REF!</f>
        <v>#REF!</v>
      </c>
      <c r="F55" s="323" t="s">
        <v>129</v>
      </c>
      <c r="G55" s="324" t="s">
        <v>378</v>
      </c>
      <c r="H55" s="80" t="s">
        <v>382</v>
      </c>
      <c r="I55" s="80" t="s">
        <v>383</v>
      </c>
      <c r="J55" s="81" t="s">
        <v>378</v>
      </c>
      <c r="K55" s="82" t="s">
        <v>382</v>
      </c>
      <c r="L55" s="82" t="s">
        <v>383</v>
      </c>
      <c r="M55" s="84" t="s">
        <v>378</v>
      </c>
      <c r="N55" s="80" t="s">
        <v>382</v>
      </c>
      <c r="O55" s="80" t="s">
        <v>383</v>
      </c>
      <c r="P55" s="81" t="s">
        <v>378</v>
      </c>
      <c r="Q55" s="82" t="s">
        <v>382</v>
      </c>
      <c r="R55" s="82" t="s">
        <v>383</v>
      </c>
      <c r="S55" s="84" t="s">
        <v>378</v>
      </c>
      <c r="T55" s="80" t="s">
        <v>382</v>
      </c>
      <c r="U55" s="80" t="s">
        <v>383</v>
      </c>
      <c r="V55" s="81" t="s">
        <v>378</v>
      </c>
      <c r="W55" s="82" t="s">
        <v>382</v>
      </c>
      <c r="X55" s="82" t="s">
        <v>383</v>
      </c>
      <c r="Y55" s="84" t="s">
        <v>378</v>
      </c>
      <c r="Z55" s="80" t="s">
        <v>382</v>
      </c>
      <c r="AA55" s="80" t="s">
        <v>383</v>
      </c>
      <c r="AB55" s="81" t="s">
        <v>378</v>
      </c>
      <c r="AC55" s="82" t="s">
        <v>382</v>
      </c>
      <c r="AD55" s="82" t="s">
        <v>383</v>
      </c>
      <c r="AE55" s="84" t="s">
        <v>378</v>
      </c>
      <c r="AF55" s="80" t="s">
        <v>382</v>
      </c>
      <c r="AG55" s="80" t="s">
        <v>383</v>
      </c>
      <c r="AH55" s="81" t="s">
        <v>378</v>
      </c>
      <c r="AI55" s="82" t="s">
        <v>382</v>
      </c>
      <c r="AJ55" s="82" t="s">
        <v>383</v>
      </c>
      <c r="AK55" s="327" t="s">
        <v>378</v>
      </c>
      <c r="AL55" s="80" t="s">
        <v>382</v>
      </c>
      <c r="AM55" s="80" t="s">
        <v>383</v>
      </c>
      <c r="AN55" s="81" t="s">
        <v>378</v>
      </c>
      <c r="AO55" s="82" t="s">
        <v>382</v>
      </c>
      <c r="AP55" s="120" t="s">
        <v>383</v>
      </c>
      <c r="AQ55" s="328" t="s">
        <v>378</v>
      </c>
      <c r="AR55" s="329" t="s">
        <v>12</v>
      </c>
      <c r="AS55" s="80" t="s">
        <v>382</v>
      </c>
      <c r="AT55" s="330" t="s">
        <v>383</v>
      </c>
      <c r="AU55" s="331" t="s">
        <v>378</v>
      </c>
      <c r="AV55" s="332" t="s">
        <v>12</v>
      </c>
      <c r="AW55" s="82" t="s">
        <v>382</v>
      </c>
      <c r="AX55" s="333" t="s">
        <v>383</v>
      </c>
      <c r="AY55" s="334" t="s">
        <v>129</v>
      </c>
      <c r="AZ55" s="269">
        <v>44259</v>
      </c>
      <c r="BA55" s="275" t="s">
        <v>344</v>
      </c>
      <c r="BB55" s="276"/>
    </row>
    <row r="56" spans="1:54" ht="39.75" customHeight="1" x14ac:dyDescent="0.25">
      <c r="A56" s="109">
        <f t="shared" si="0"/>
        <v>44</v>
      </c>
      <c r="B56" s="110" t="e">
        <f>#REF!</f>
        <v>#REF!</v>
      </c>
      <c r="C56" s="111" t="e">
        <f>#REF!</f>
        <v>#REF!</v>
      </c>
      <c r="D56" s="112" t="e">
        <f>#REF!</f>
        <v>#REF!</v>
      </c>
      <c r="E56" s="113" t="e">
        <f>#REF!</f>
        <v>#REF!</v>
      </c>
      <c r="F56" s="323" t="s">
        <v>230</v>
      </c>
      <c r="G56" s="324" t="s">
        <v>381</v>
      </c>
      <c r="H56" s="80" t="s">
        <v>384</v>
      </c>
      <c r="I56" s="80" t="s">
        <v>385</v>
      </c>
      <c r="J56" s="81" t="s">
        <v>381</v>
      </c>
      <c r="K56" s="82" t="s">
        <v>384</v>
      </c>
      <c r="L56" s="82" t="s">
        <v>385</v>
      </c>
      <c r="M56" s="84" t="s">
        <v>381</v>
      </c>
      <c r="N56" s="80" t="s">
        <v>384</v>
      </c>
      <c r="O56" s="80" t="s">
        <v>385</v>
      </c>
      <c r="P56" s="81" t="s">
        <v>381</v>
      </c>
      <c r="Q56" s="82" t="s">
        <v>384</v>
      </c>
      <c r="R56" s="82" t="s">
        <v>385</v>
      </c>
      <c r="S56" s="84" t="s">
        <v>381</v>
      </c>
      <c r="T56" s="80" t="s">
        <v>384</v>
      </c>
      <c r="U56" s="80" t="s">
        <v>385</v>
      </c>
      <c r="V56" s="81" t="s">
        <v>381</v>
      </c>
      <c r="W56" s="82" t="s">
        <v>384</v>
      </c>
      <c r="X56" s="82" t="s">
        <v>385</v>
      </c>
      <c r="Y56" s="84" t="s">
        <v>381</v>
      </c>
      <c r="Z56" s="80" t="s">
        <v>384</v>
      </c>
      <c r="AA56" s="80" t="s">
        <v>385</v>
      </c>
      <c r="AB56" s="81" t="s">
        <v>381</v>
      </c>
      <c r="AC56" s="82" t="s">
        <v>384</v>
      </c>
      <c r="AD56" s="82" t="s">
        <v>385</v>
      </c>
      <c r="AE56" s="84" t="s">
        <v>381</v>
      </c>
      <c r="AF56" s="80" t="s">
        <v>384</v>
      </c>
      <c r="AG56" s="80" t="s">
        <v>385</v>
      </c>
      <c r="AH56" s="81" t="s">
        <v>381</v>
      </c>
      <c r="AI56" s="82" t="s">
        <v>384</v>
      </c>
      <c r="AJ56" s="82" t="s">
        <v>385</v>
      </c>
      <c r="AK56" s="327" t="s">
        <v>381</v>
      </c>
      <c r="AL56" s="80" t="s">
        <v>384</v>
      </c>
      <c r="AM56" s="80" t="s">
        <v>385</v>
      </c>
      <c r="AN56" s="81" t="s">
        <v>381</v>
      </c>
      <c r="AO56" s="82" t="s">
        <v>384</v>
      </c>
      <c r="AP56" s="120" t="s">
        <v>385</v>
      </c>
      <c r="AQ56" s="328" t="s">
        <v>381</v>
      </c>
      <c r="AR56" s="329" t="s">
        <v>12</v>
      </c>
      <c r="AS56" s="80" t="s">
        <v>384</v>
      </c>
      <c r="AT56" s="330" t="s">
        <v>385</v>
      </c>
      <c r="AU56" s="331" t="s">
        <v>381</v>
      </c>
      <c r="AV56" s="332" t="s">
        <v>12</v>
      </c>
      <c r="AW56" s="82" t="s">
        <v>384</v>
      </c>
      <c r="AX56" s="333" t="s">
        <v>385</v>
      </c>
      <c r="AY56" s="334" t="s">
        <v>230</v>
      </c>
      <c r="AZ56" s="269">
        <v>44291</v>
      </c>
      <c r="BA56" s="275" t="s">
        <v>346</v>
      </c>
      <c r="BB56" s="276"/>
    </row>
    <row r="57" spans="1:54" ht="39.75" customHeight="1" x14ac:dyDescent="0.25">
      <c r="A57" s="109">
        <f t="shared" si="0"/>
        <v>45</v>
      </c>
      <c r="B57" s="110" t="e">
        <f>#REF!</f>
        <v>#REF!</v>
      </c>
      <c r="C57" s="111" t="e">
        <f>#REF!</f>
        <v>#REF!</v>
      </c>
      <c r="D57" s="112" t="e">
        <f>#REF!</f>
        <v>#REF!</v>
      </c>
      <c r="E57" s="113" t="e">
        <f>#REF!</f>
        <v>#REF!</v>
      </c>
      <c r="F57" s="323" t="s">
        <v>129</v>
      </c>
      <c r="G57" s="324" t="s">
        <v>376</v>
      </c>
      <c r="H57" s="80" t="s">
        <v>111</v>
      </c>
      <c r="I57" s="80" t="s">
        <v>386</v>
      </c>
      <c r="J57" s="81" t="s">
        <v>376</v>
      </c>
      <c r="K57" s="82" t="s">
        <v>111</v>
      </c>
      <c r="L57" s="82" t="s">
        <v>386</v>
      </c>
      <c r="M57" s="84" t="s">
        <v>376</v>
      </c>
      <c r="N57" s="80" t="s">
        <v>111</v>
      </c>
      <c r="O57" s="80" t="s">
        <v>386</v>
      </c>
      <c r="P57" s="81" t="s">
        <v>376</v>
      </c>
      <c r="Q57" s="82" t="s">
        <v>111</v>
      </c>
      <c r="R57" s="82" t="s">
        <v>386</v>
      </c>
      <c r="S57" s="84" t="s">
        <v>376</v>
      </c>
      <c r="T57" s="80" t="s">
        <v>111</v>
      </c>
      <c r="U57" s="80" t="s">
        <v>386</v>
      </c>
      <c r="V57" s="81" t="s">
        <v>376</v>
      </c>
      <c r="W57" s="82" t="s">
        <v>111</v>
      </c>
      <c r="X57" s="82" t="s">
        <v>386</v>
      </c>
      <c r="Y57" s="84" t="s">
        <v>376</v>
      </c>
      <c r="Z57" s="80" t="s">
        <v>111</v>
      </c>
      <c r="AA57" s="80" t="s">
        <v>386</v>
      </c>
      <c r="AB57" s="81" t="s">
        <v>376</v>
      </c>
      <c r="AC57" s="82" t="s">
        <v>111</v>
      </c>
      <c r="AD57" s="82" t="s">
        <v>386</v>
      </c>
      <c r="AE57" s="84" t="s">
        <v>376</v>
      </c>
      <c r="AF57" s="80" t="s">
        <v>111</v>
      </c>
      <c r="AG57" s="80" t="s">
        <v>386</v>
      </c>
      <c r="AH57" s="81" t="s">
        <v>376</v>
      </c>
      <c r="AI57" s="82" t="s">
        <v>111</v>
      </c>
      <c r="AJ57" s="82" t="s">
        <v>386</v>
      </c>
      <c r="AK57" s="327" t="s">
        <v>376</v>
      </c>
      <c r="AL57" s="80" t="s">
        <v>111</v>
      </c>
      <c r="AM57" s="80" t="s">
        <v>386</v>
      </c>
      <c r="AN57" s="81" t="s">
        <v>376</v>
      </c>
      <c r="AO57" s="82" t="s">
        <v>111</v>
      </c>
      <c r="AP57" s="120" t="s">
        <v>386</v>
      </c>
      <c r="AQ57" s="328" t="s">
        <v>376</v>
      </c>
      <c r="AR57" s="329" t="s">
        <v>12</v>
      </c>
      <c r="AS57" s="80" t="s">
        <v>111</v>
      </c>
      <c r="AT57" s="330" t="s">
        <v>386</v>
      </c>
      <c r="AU57" s="331" t="s">
        <v>376</v>
      </c>
      <c r="AV57" s="332" t="s">
        <v>12</v>
      </c>
      <c r="AW57" s="82" t="s">
        <v>111</v>
      </c>
      <c r="AX57" s="333" t="s">
        <v>386</v>
      </c>
      <c r="AY57" s="334" t="s">
        <v>129</v>
      </c>
      <c r="AZ57" s="269">
        <v>44319</v>
      </c>
      <c r="BA57" s="270" t="s">
        <v>335</v>
      </c>
      <c r="BB57" s="276"/>
    </row>
    <row r="58" spans="1:54" ht="39.75" customHeight="1" x14ac:dyDescent="0.25">
      <c r="A58" s="109">
        <f t="shared" si="0"/>
        <v>46</v>
      </c>
      <c r="B58" s="110" t="e">
        <f>#REF!</f>
        <v>#REF!</v>
      </c>
      <c r="C58" s="111" t="e">
        <f>#REF!</f>
        <v>#REF!</v>
      </c>
      <c r="D58" s="112" t="e">
        <f>#REF!</f>
        <v>#REF!</v>
      </c>
      <c r="E58" s="113" t="e">
        <f>#REF!</f>
        <v>#REF!</v>
      </c>
      <c r="F58" s="323" t="s">
        <v>230</v>
      </c>
      <c r="G58" s="324" t="s">
        <v>378</v>
      </c>
      <c r="H58" s="80" t="s">
        <v>379</v>
      </c>
      <c r="I58" s="80" t="s">
        <v>377</v>
      </c>
      <c r="J58" s="81" t="s">
        <v>378</v>
      </c>
      <c r="K58" s="82" t="s">
        <v>379</v>
      </c>
      <c r="L58" s="82" t="s">
        <v>377</v>
      </c>
      <c r="M58" s="84" t="s">
        <v>378</v>
      </c>
      <c r="N58" s="80" t="s">
        <v>379</v>
      </c>
      <c r="O58" s="80" t="s">
        <v>377</v>
      </c>
      <c r="P58" s="81" t="s">
        <v>378</v>
      </c>
      <c r="Q58" s="82" t="s">
        <v>379</v>
      </c>
      <c r="R58" s="82" t="s">
        <v>377</v>
      </c>
      <c r="S58" s="84" t="s">
        <v>378</v>
      </c>
      <c r="T58" s="80" t="s">
        <v>379</v>
      </c>
      <c r="U58" s="80" t="s">
        <v>377</v>
      </c>
      <c r="V58" s="81" t="s">
        <v>378</v>
      </c>
      <c r="W58" s="82" t="s">
        <v>379</v>
      </c>
      <c r="X58" s="82" t="s">
        <v>377</v>
      </c>
      <c r="Y58" s="84" t="s">
        <v>378</v>
      </c>
      <c r="Z58" s="80" t="s">
        <v>379</v>
      </c>
      <c r="AA58" s="80" t="s">
        <v>377</v>
      </c>
      <c r="AB58" s="81" t="s">
        <v>378</v>
      </c>
      <c r="AC58" s="82" t="s">
        <v>379</v>
      </c>
      <c r="AD58" s="82" t="s">
        <v>377</v>
      </c>
      <c r="AE58" s="84" t="s">
        <v>378</v>
      </c>
      <c r="AF58" s="80" t="s">
        <v>379</v>
      </c>
      <c r="AG58" s="80" t="s">
        <v>377</v>
      </c>
      <c r="AH58" s="81" t="s">
        <v>378</v>
      </c>
      <c r="AI58" s="82" t="s">
        <v>379</v>
      </c>
      <c r="AJ58" s="82" t="s">
        <v>377</v>
      </c>
      <c r="AK58" s="327" t="s">
        <v>378</v>
      </c>
      <c r="AL58" s="80" t="s">
        <v>379</v>
      </c>
      <c r="AM58" s="80" t="s">
        <v>377</v>
      </c>
      <c r="AN58" s="81" t="s">
        <v>378</v>
      </c>
      <c r="AO58" s="82" t="s">
        <v>379</v>
      </c>
      <c r="AP58" s="120" t="s">
        <v>377</v>
      </c>
      <c r="AQ58" s="328" t="s">
        <v>378</v>
      </c>
      <c r="AR58" s="329" t="s">
        <v>12</v>
      </c>
      <c r="AS58" s="80" t="s">
        <v>379</v>
      </c>
      <c r="AT58" s="330" t="s">
        <v>377</v>
      </c>
      <c r="AU58" s="331" t="s">
        <v>378</v>
      </c>
      <c r="AV58" s="332" t="s">
        <v>12</v>
      </c>
      <c r="AW58" s="82" t="s">
        <v>379</v>
      </c>
      <c r="AX58" s="333" t="s">
        <v>377</v>
      </c>
      <c r="AY58" s="334" t="s">
        <v>230</v>
      </c>
      <c r="AZ58" s="269">
        <v>44351</v>
      </c>
      <c r="BA58" s="275" t="s">
        <v>342</v>
      </c>
      <c r="BB58" s="276"/>
    </row>
    <row r="59" spans="1:54" ht="39.75" customHeight="1" x14ac:dyDescent="0.25">
      <c r="A59" s="109">
        <f t="shared" si="0"/>
        <v>47</v>
      </c>
      <c r="B59" s="110" t="e">
        <f>#REF!</f>
        <v>#REF!</v>
      </c>
      <c r="C59" s="111" t="e">
        <f>#REF!</f>
        <v>#REF!</v>
      </c>
      <c r="D59" s="112" t="e">
        <f>#REF!</f>
        <v>#REF!</v>
      </c>
      <c r="E59" s="113" t="e">
        <f>#REF!</f>
        <v>#REF!</v>
      </c>
      <c r="F59" s="323" t="s">
        <v>129</v>
      </c>
      <c r="G59" s="324" t="s">
        <v>381</v>
      </c>
      <c r="H59" s="80" t="s">
        <v>382</v>
      </c>
      <c r="I59" s="80" t="s">
        <v>380</v>
      </c>
      <c r="J59" s="81" t="s">
        <v>381</v>
      </c>
      <c r="K59" s="82" t="s">
        <v>382</v>
      </c>
      <c r="L59" s="82" t="s">
        <v>380</v>
      </c>
      <c r="M59" s="84" t="s">
        <v>381</v>
      </c>
      <c r="N59" s="80" t="s">
        <v>382</v>
      </c>
      <c r="O59" s="80" t="s">
        <v>380</v>
      </c>
      <c r="P59" s="81" t="s">
        <v>381</v>
      </c>
      <c r="Q59" s="82" t="s">
        <v>382</v>
      </c>
      <c r="R59" s="82" t="s">
        <v>380</v>
      </c>
      <c r="S59" s="84" t="s">
        <v>381</v>
      </c>
      <c r="T59" s="80" t="s">
        <v>382</v>
      </c>
      <c r="U59" s="80" t="s">
        <v>380</v>
      </c>
      <c r="V59" s="81" t="s">
        <v>381</v>
      </c>
      <c r="W59" s="82" t="s">
        <v>382</v>
      </c>
      <c r="X59" s="82" t="s">
        <v>380</v>
      </c>
      <c r="Y59" s="84" t="s">
        <v>381</v>
      </c>
      <c r="Z59" s="80" t="s">
        <v>382</v>
      </c>
      <c r="AA59" s="80" t="s">
        <v>380</v>
      </c>
      <c r="AB59" s="81" t="s">
        <v>381</v>
      </c>
      <c r="AC59" s="82" t="s">
        <v>382</v>
      </c>
      <c r="AD59" s="82" t="s">
        <v>380</v>
      </c>
      <c r="AE59" s="84" t="s">
        <v>381</v>
      </c>
      <c r="AF59" s="80" t="s">
        <v>382</v>
      </c>
      <c r="AG59" s="80" t="s">
        <v>380</v>
      </c>
      <c r="AH59" s="81" t="s">
        <v>381</v>
      </c>
      <c r="AI59" s="82" t="s">
        <v>382</v>
      </c>
      <c r="AJ59" s="82" t="s">
        <v>380</v>
      </c>
      <c r="AK59" s="327" t="s">
        <v>381</v>
      </c>
      <c r="AL59" s="80" t="s">
        <v>382</v>
      </c>
      <c r="AM59" s="80" t="s">
        <v>380</v>
      </c>
      <c r="AN59" s="81" t="s">
        <v>381</v>
      </c>
      <c r="AO59" s="82" t="s">
        <v>382</v>
      </c>
      <c r="AP59" s="120" t="s">
        <v>380</v>
      </c>
      <c r="AQ59" s="328" t="s">
        <v>381</v>
      </c>
      <c r="AR59" s="329" t="s">
        <v>12</v>
      </c>
      <c r="AS59" s="80" t="s">
        <v>382</v>
      </c>
      <c r="AT59" s="330" t="s">
        <v>380</v>
      </c>
      <c r="AU59" s="331" t="s">
        <v>381</v>
      </c>
      <c r="AV59" s="332" t="s">
        <v>12</v>
      </c>
      <c r="AW59" s="82" t="s">
        <v>382</v>
      </c>
      <c r="AX59" s="333" t="s">
        <v>380</v>
      </c>
      <c r="AY59" s="334" t="s">
        <v>129</v>
      </c>
      <c r="AZ59" s="269">
        <v>44379</v>
      </c>
      <c r="BA59" s="275" t="s">
        <v>344</v>
      </c>
      <c r="BB59" s="276"/>
    </row>
    <row r="60" spans="1:54" ht="39.75" customHeight="1" x14ac:dyDescent="0.25">
      <c r="A60" s="109">
        <f t="shared" si="0"/>
        <v>48</v>
      </c>
      <c r="B60" s="110" t="e">
        <f>#REF!</f>
        <v>#REF!</v>
      </c>
      <c r="C60" s="111" t="e">
        <f>#REF!</f>
        <v>#REF!</v>
      </c>
      <c r="D60" s="112" t="e">
        <f>#REF!</f>
        <v>#REF!</v>
      </c>
      <c r="E60" s="113" t="e">
        <f>#REF!</f>
        <v>#REF!</v>
      </c>
      <c r="F60" s="323" t="s">
        <v>230</v>
      </c>
      <c r="G60" s="324" t="s">
        <v>376</v>
      </c>
      <c r="H60" s="80" t="s">
        <v>384</v>
      </c>
      <c r="I60" s="80" t="s">
        <v>383</v>
      </c>
      <c r="J60" s="81" t="s">
        <v>376</v>
      </c>
      <c r="K60" s="82" t="s">
        <v>384</v>
      </c>
      <c r="L60" s="82" t="s">
        <v>383</v>
      </c>
      <c r="M60" s="84" t="s">
        <v>376</v>
      </c>
      <c r="N60" s="80" t="s">
        <v>384</v>
      </c>
      <c r="O60" s="80" t="s">
        <v>383</v>
      </c>
      <c r="P60" s="81" t="s">
        <v>376</v>
      </c>
      <c r="Q60" s="82" t="s">
        <v>384</v>
      </c>
      <c r="R60" s="82" t="s">
        <v>383</v>
      </c>
      <c r="S60" s="84" t="s">
        <v>376</v>
      </c>
      <c r="T60" s="80" t="s">
        <v>384</v>
      </c>
      <c r="U60" s="80" t="s">
        <v>383</v>
      </c>
      <c r="V60" s="81" t="s">
        <v>376</v>
      </c>
      <c r="W60" s="82" t="s">
        <v>384</v>
      </c>
      <c r="X60" s="82" t="s">
        <v>383</v>
      </c>
      <c r="Y60" s="84" t="s">
        <v>376</v>
      </c>
      <c r="Z60" s="80" t="s">
        <v>384</v>
      </c>
      <c r="AA60" s="80" t="s">
        <v>383</v>
      </c>
      <c r="AB60" s="81" t="s">
        <v>376</v>
      </c>
      <c r="AC60" s="82" t="s">
        <v>384</v>
      </c>
      <c r="AD60" s="82" t="s">
        <v>383</v>
      </c>
      <c r="AE60" s="84" t="s">
        <v>376</v>
      </c>
      <c r="AF60" s="80" t="s">
        <v>384</v>
      </c>
      <c r="AG60" s="80" t="s">
        <v>383</v>
      </c>
      <c r="AH60" s="81" t="s">
        <v>376</v>
      </c>
      <c r="AI60" s="82" t="s">
        <v>384</v>
      </c>
      <c r="AJ60" s="82" t="s">
        <v>383</v>
      </c>
      <c r="AK60" s="327" t="s">
        <v>376</v>
      </c>
      <c r="AL60" s="80" t="s">
        <v>384</v>
      </c>
      <c r="AM60" s="80" t="s">
        <v>383</v>
      </c>
      <c r="AN60" s="81" t="s">
        <v>376</v>
      </c>
      <c r="AO60" s="82" t="s">
        <v>384</v>
      </c>
      <c r="AP60" s="120" t="s">
        <v>383</v>
      </c>
      <c r="AQ60" s="328" t="s">
        <v>376</v>
      </c>
      <c r="AR60" s="329" t="s">
        <v>12</v>
      </c>
      <c r="AS60" s="80" t="s">
        <v>384</v>
      </c>
      <c r="AT60" s="330" t="s">
        <v>383</v>
      </c>
      <c r="AU60" s="331" t="s">
        <v>376</v>
      </c>
      <c r="AV60" s="332" t="s">
        <v>12</v>
      </c>
      <c r="AW60" s="82" t="s">
        <v>384</v>
      </c>
      <c r="AX60" s="333" t="s">
        <v>383</v>
      </c>
      <c r="AY60" s="334" t="s">
        <v>230</v>
      </c>
      <c r="AZ60" s="269">
        <v>44412</v>
      </c>
      <c r="BA60" s="275" t="s">
        <v>346</v>
      </c>
      <c r="BB60" s="276"/>
    </row>
    <row r="61" spans="1:54" ht="39.75" customHeight="1" x14ac:dyDescent="0.25">
      <c r="A61" s="109">
        <f t="shared" si="0"/>
        <v>49</v>
      </c>
      <c r="B61" s="110" t="e">
        <f>#REF!</f>
        <v>#REF!</v>
      </c>
      <c r="C61" s="111" t="e">
        <f>#REF!</f>
        <v>#REF!</v>
      </c>
      <c r="D61" s="112" t="e">
        <f>#REF!</f>
        <v>#REF!</v>
      </c>
      <c r="E61" s="113" t="e">
        <f>#REF!</f>
        <v>#REF!</v>
      </c>
      <c r="F61" s="323" t="s">
        <v>129</v>
      </c>
      <c r="G61" s="324" t="s">
        <v>378</v>
      </c>
      <c r="H61" s="80" t="s">
        <v>111</v>
      </c>
      <c r="I61" s="80" t="s">
        <v>385</v>
      </c>
      <c r="J61" s="81" t="s">
        <v>378</v>
      </c>
      <c r="K61" s="82" t="s">
        <v>111</v>
      </c>
      <c r="L61" s="82" t="s">
        <v>385</v>
      </c>
      <c r="M61" s="84" t="s">
        <v>378</v>
      </c>
      <c r="N61" s="80" t="s">
        <v>111</v>
      </c>
      <c r="O61" s="80" t="s">
        <v>385</v>
      </c>
      <c r="P61" s="81" t="s">
        <v>378</v>
      </c>
      <c r="Q61" s="82" t="s">
        <v>111</v>
      </c>
      <c r="R61" s="82" t="s">
        <v>385</v>
      </c>
      <c r="S61" s="84" t="s">
        <v>378</v>
      </c>
      <c r="T61" s="80" t="s">
        <v>111</v>
      </c>
      <c r="U61" s="80" t="s">
        <v>385</v>
      </c>
      <c r="V61" s="81" t="s">
        <v>378</v>
      </c>
      <c r="W61" s="82" t="s">
        <v>111</v>
      </c>
      <c r="X61" s="82" t="s">
        <v>385</v>
      </c>
      <c r="Y61" s="84" t="s">
        <v>378</v>
      </c>
      <c r="Z61" s="80" t="s">
        <v>111</v>
      </c>
      <c r="AA61" s="80" t="s">
        <v>385</v>
      </c>
      <c r="AB61" s="81" t="s">
        <v>378</v>
      </c>
      <c r="AC61" s="82" t="s">
        <v>111</v>
      </c>
      <c r="AD61" s="82" t="s">
        <v>385</v>
      </c>
      <c r="AE61" s="84" t="s">
        <v>378</v>
      </c>
      <c r="AF61" s="80" t="s">
        <v>111</v>
      </c>
      <c r="AG61" s="80" t="s">
        <v>385</v>
      </c>
      <c r="AH61" s="81" t="s">
        <v>378</v>
      </c>
      <c r="AI61" s="82" t="s">
        <v>111</v>
      </c>
      <c r="AJ61" s="82" t="s">
        <v>385</v>
      </c>
      <c r="AK61" s="327" t="s">
        <v>378</v>
      </c>
      <c r="AL61" s="80" t="s">
        <v>111</v>
      </c>
      <c r="AM61" s="80" t="s">
        <v>385</v>
      </c>
      <c r="AN61" s="81" t="s">
        <v>378</v>
      </c>
      <c r="AO61" s="82" t="s">
        <v>111</v>
      </c>
      <c r="AP61" s="120" t="s">
        <v>385</v>
      </c>
      <c r="AQ61" s="328" t="s">
        <v>378</v>
      </c>
      <c r="AR61" s="329" t="s">
        <v>12</v>
      </c>
      <c r="AS61" s="80" t="s">
        <v>111</v>
      </c>
      <c r="AT61" s="330" t="s">
        <v>385</v>
      </c>
      <c r="AU61" s="331" t="s">
        <v>378</v>
      </c>
      <c r="AV61" s="332" t="s">
        <v>12</v>
      </c>
      <c r="AW61" s="82" t="s">
        <v>111</v>
      </c>
      <c r="AX61" s="333" t="s">
        <v>385</v>
      </c>
      <c r="AY61" s="334" t="s">
        <v>129</v>
      </c>
      <c r="AZ61" s="269">
        <v>44076</v>
      </c>
      <c r="BA61" s="270" t="s">
        <v>335</v>
      </c>
      <c r="BB61" s="276"/>
    </row>
    <row r="62" spans="1:54" ht="39.75" customHeight="1" x14ac:dyDescent="0.25">
      <c r="A62" s="109">
        <f t="shared" si="0"/>
        <v>50</v>
      </c>
      <c r="B62" s="110" t="e">
        <f>#REF!</f>
        <v>#REF!</v>
      </c>
      <c r="C62" s="111" t="e">
        <f>#REF!</f>
        <v>#REF!</v>
      </c>
      <c r="D62" s="112" t="e">
        <f>#REF!</f>
        <v>#REF!</v>
      </c>
      <c r="E62" s="113" t="e">
        <f>#REF!</f>
        <v>#REF!</v>
      </c>
      <c r="F62" s="323" t="s">
        <v>230</v>
      </c>
      <c r="G62" s="324" t="s">
        <v>381</v>
      </c>
      <c r="H62" s="80" t="s">
        <v>379</v>
      </c>
      <c r="I62" s="80" t="s">
        <v>386</v>
      </c>
      <c r="J62" s="81" t="s">
        <v>381</v>
      </c>
      <c r="K62" s="82" t="s">
        <v>379</v>
      </c>
      <c r="L62" s="82" t="s">
        <v>386</v>
      </c>
      <c r="M62" s="84" t="s">
        <v>381</v>
      </c>
      <c r="N62" s="80" t="s">
        <v>379</v>
      </c>
      <c r="O62" s="80" t="s">
        <v>386</v>
      </c>
      <c r="P62" s="81" t="s">
        <v>381</v>
      </c>
      <c r="Q62" s="82" t="s">
        <v>379</v>
      </c>
      <c r="R62" s="82" t="s">
        <v>386</v>
      </c>
      <c r="S62" s="84" t="s">
        <v>381</v>
      </c>
      <c r="T62" s="80" t="s">
        <v>379</v>
      </c>
      <c r="U62" s="80" t="s">
        <v>386</v>
      </c>
      <c r="V62" s="81" t="s">
        <v>381</v>
      </c>
      <c r="W62" s="82" t="s">
        <v>379</v>
      </c>
      <c r="X62" s="82" t="s">
        <v>386</v>
      </c>
      <c r="Y62" s="84" t="s">
        <v>381</v>
      </c>
      <c r="Z62" s="80" t="s">
        <v>379</v>
      </c>
      <c r="AA62" s="80" t="s">
        <v>386</v>
      </c>
      <c r="AB62" s="84" t="s">
        <v>381</v>
      </c>
      <c r="AC62" s="82" t="s">
        <v>379</v>
      </c>
      <c r="AD62" s="82" t="s">
        <v>386</v>
      </c>
      <c r="AE62" s="84" t="s">
        <v>381</v>
      </c>
      <c r="AF62" s="80" t="s">
        <v>379</v>
      </c>
      <c r="AG62" s="80" t="s">
        <v>386</v>
      </c>
      <c r="AH62" s="81" t="s">
        <v>381</v>
      </c>
      <c r="AI62" s="82" t="s">
        <v>379</v>
      </c>
      <c r="AJ62" s="82" t="s">
        <v>386</v>
      </c>
      <c r="AK62" s="327" t="s">
        <v>381</v>
      </c>
      <c r="AL62" s="80" t="s">
        <v>379</v>
      </c>
      <c r="AM62" s="80" t="s">
        <v>386</v>
      </c>
      <c r="AN62" s="81" t="s">
        <v>381</v>
      </c>
      <c r="AO62" s="82" t="s">
        <v>379</v>
      </c>
      <c r="AP62" s="120" t="s">
        <v>386</v>
      </c>
      <c r="AQ62" s="328" t="s">
        <v>381</v>
      </c>
      <c r="AR62" s="329" t="s">
        <v>12</v>
      </c>
      <c r="AS62" s="80" t="s">
        <v>379</v>
      </c>
      <c r="AT62" s="330" t="s">
        <v>386</v>
      </c>
      <c r="AU62" s="328" t="s">
        <v>381</v>
      </c>
      <c r="AV62" s="332" t="s">
        <v>12</v>
      </c>
      <c r="AW62" s="82" t="s">
        <v>379</v>
      </c>
      <c r="AX62" s="333" t="s">
        <v>386</v>
      </c>
      <c r="AY62" s="334" t="s">
        <v>230</v>
      </c>
      <c r="AZ62" s="269">
        <v>44139</v>
      </c>
      <c r="BA62" s="275" t="s">
        <v>342</v>
      </c>
      <c r="BB62" s="276"/>
    </row>
    <row r="63" spans="1:54" ht="15.75" customHeight="1" x14ac:dyDescent="0.25">
      <c r="A63" s="122"/>
    </row>
    <row r="64" spans="1:54"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9">
    <mergeCell ref="AQ11:AT11"/>
    <mergeCell ref="AU11:AX11"/>
    <mergeCell ref="AY11:BB11"/>
    <mergeCell ref="P11:R11"/>
    <mergeCell ref="S11:U11"/>
    <mergeCell ref="V11:X11"/>
    <mergeCell ref="Y11:AA11"/>
    <mergeCell ref="AB11:AD11"/>
    <mergeCell ref="AE11:AG11"/>
    <mergeCell ref="AH11:AJ11"/>
    <mergeCell ref="P10:U10"/>
    <mergeCell ref="A11:F11"/>
    <mergeCell ref="G11:I11"/>
    <mergeCell ref="AK11:AM11"/>
    <mergeCell ref="AN11:AP11"/>
    <mergeCell ref="J11:L11"/>
    <mergeCell ref="M11:O11"/>
    <mergeCell ref="A10:D10"/>
    <mergeCell ref="E10:F10"/>
    <mergeCell ref="G10:J10"/>
    <mergeCell ref="K10:O10"/>
    <mergeCell ref="K8:O8"/>
    <mergeCell ref="P8:U8"/>
    <mergeCell ref="K9:O9"/>
    <mergeCell ref="P9:U9"/>
    <mergeCell ref="A6:D6"/>
    <mergeCell ref="A7:D7"/>
    <mergeCell ref="E7:J7"/>
    <mergeCell ref="K7:O7"/>
    <mergeCell ref="P7:U7"/>
    <mergeCell ref="A8:D9"/>
    <mergeCell ref="E8:J9"/>
    <mergeCell ref="A2:U2"/>
    <mergeCell ref="A3:U3"/>
    <mergeCell ref="A4:U4"/>
    <mergeCell ref="A5:AU5"/>
    <mergeCell ref="E6:J6"/>
    <mergeCell ref="K6:O6"/>
    <mergeCell ref="P6:U6"/>
  </mergeCells>
  <conditionalFormatting sqref="F13:F16 F19:F22">
    <cfRule type="expression" dxfId="22" priority="1">
      <formula>#REF!="YES"</formula>
    </cfRule>
  </conditionalFormatting>
  <conditionalFormatting sqref="F17:F18">
    <cfRule type="expression" dxfId="21" priority="2">
      <formula>#REF!="YES"</formula>
    </cfRule>
  </conditionalFormatting>
  <conditionalFormatting sqref="F23:F26 F29:F32">
    <cfRule type="expression" dxfId="20" priority="3">
      <formula>#REF!="YES"</formula>
    </cfRule>
  </conditionalFormatting>
  <conditionalFormatting sqref="F27:F28">
    <cfRule type="expression" dxfId="19" priority="4">
      <formula>#REF!="YES"</formula>
    </cfRule>
  </conditionalFormatting>
  <conditionalFormatting sqref="F33:F62">
    <cfRule type="expression" dxfId="18" priority="5">
      <formula>#REF!="YES"</formula>
    </cfRule>
  </conditionalFormatting>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5">
        <x14:dataValidation type="list" allowBlank="1" showErrorMessage="1" xr:uid="{00000000-0002-0000-0D00-000000000000}">
          <x14:formula1>
            <xm:f>'Pick List '!$N$89:$N$91</xm:f>
          </x14:formula1>
          <xm:sqref>G13:G62 J13:J62 M13:M62 P13:P62 S13:S62 V13:V62 Y13:Y62 AB13:AB62 AE13:AE62 AH13:AH62 AK13:AK62 AN13:AN62 AQ13:AQ62 AU13:AU62</xm:sqref>
        </x14:dataValidation>
        <x14:dataValidation type="list" allowBlank="1" showErrorMessage="1" xr:uid="{00000000-0002-0000-0D00-000001000000}">
          <x14:formula1>
            <xm:f>'Pick List '!$R$89:$R$92</xm:f>
          </x14:formula1>
          <xm:sqref>BA13:BA62</xm:sqref>
        </x14:dataValidation>
        <x14:dataValidation type="list" allowBlank="1" showErrorMessage="1" xr:uid="{00000000-0002-0000-0D00-000002000000}">
          <x14:formula1>
            <xm:f>'Pick List '!$P$123:$P$126</xm:f>
          </x14:formula1>
          <xm:sqref>H13:H62 K13:K62 N13:N62 Q13:Q62 T13:T62 W13:W62 Z13:Z62 AC13:AC62 AF13:AF62 AI13:AI62 AL13:AL62 AO13:AO62 AS13:AS62 AW13:AW62</xm:sqref>
        </x14:dataValidation>
        <x14:dataValidation type="list" allowBlank="1" showErrorMessage="1" xr:uid="{00000000-0002-0000-0D00-000003000000}">
          <x14:formula1>
            <xm:f>'Pick List '!$G$15:$G$16</xm:f>
          </x14:formula1>
          <xm:sqref>F13:F62 AY13:AY62</xm:sqref>
        </x14:dataValidation>
        <x14:dataValidation type="list" allowBlank="1" showErrorMessage="1" xr:uid="{00000000-0002-0000-0D00-000004000000}">
          <x14:formula1>
            <xm:f>'Pick List '!$P$130:$P$134</xm:f>
          </x14:formula1>
          <xm:sqref>I13:I62 L13:L62 O13:O62 R13:R62 U13:U62 X13:X62 AA13:AA62 AD13:AD62 AG13:AG62 AJ13:AJ62 AM13:AM62 AP13:AP62 AT13:AT62 AX13:AX62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C0C0C"/>
  </sheetPr>
  <dimension ref="A11:H1000"/>
  <sheetViews>
    <sheetView workbookViewId="0"/>
  </sheetViews>
  <sheetFormatPr defaultColWidth="14.42578125" defaultRowHeight="15" customHeight="1" x14ac:dyDescent="0.25"/>
  <cols>
    <col min="1" max="8" width="10.7109375" customWidth="1"/>
    <col min="9" max="26" width="8.7109375" customWidth="1"/>
  </cols>
  <sheetData>
    <row r="11" spans="1:8" ht="34.5" customHeight="1" x14ac:dyDescent="0.25">
      <c r="A11" s="857"/>
      <c r="B11" s="711"/>
      <c r="C11" s="711"/>
      <c r="D11" s="711"/>
      <c r="E11" s="858"/>
      <c r="F11" s="859" t="s">
        <v>387</v>
      </c>
      <c r="G11" s="860"/>
      <c r="H11" s="861"/>
    </row>
    <row r="12" spans="1:8" ht="112.5" x14ac:dyDescent="0.25">
      <c r="A12" s="74" t="s">
        <v>27</v>
      </c>
      <c r="B12" s="339" t="s">
        <v>388</v>
      </c>
      <c r="C12" s="67" t="s">
        <v>389</v>
      </c>
      <c r="D12" s="339" t="s">
        <v>390</v>
      </c>
      <c r="E12" s="67" t="s">
        <v>391</v>
      </c>
      <c r="F12" s="340" t="s">
        <v>392</v>
      </c>
      <c r="G12" s="341" t="s">
        <v>393</v>
      </c>
      <c r="H12" s="342" t="s">
        <v>394</v>
      </c>
    </row>
    <row r="13" spans="1:8" ht="25.5" x14ac:dyDescent="0.25">
      <c r="A13" s="75">
        <f t="shared" ref="A13:A62" si="0">ROW(A1)</f>
        <v>1</v>
      </c>
      <c r="B13" s="343">
        <v>1</v>
      </c>
      <c r="C13" s="76" t="s">
        <v>395</v>
      </c>
      <c r="D13" s="344">
        <v>44075</v>
      </c>
      <c r="E13" s="77">
        <v>44077</v>
      </c>
      <c r="F13" s="345"/>
      <c r="G13" s="346"/>
      <c r="H13" s="347"/>
    </row>
    <row r="14" spans="1:8" ht="25.5" x14ac:dyDescent="0.25">
      <c r="A14" s="75">
        <f t="shared" si="0"/>
        <v>2</v>
      </c>
      <c r="B14" s="343">
        <v>2</v>
      </c>
      <c r="C14" s="83" t="s">
        <v>395</v>
      </c>
      <c r="D14" s="344">
        <v>44105</v>
      </c>
      <c r="E14" s="77">
        <v>44107</v>
      </c>
      <c r="F14" s="345"/>
      <c r="G14" s="346"/>
      <c r="H14" s="347"/>
    </row>
    <row r="15" spans="1:8" ht="25.5" x14ac:dyDescent="0.25">
      <c r="A15" s="75">
        <f t="shared" si="0"/>
        <v>3</v>
      </c>
      <c r="B15" s="343">
        <v>3</v>
      </c>
      <c r="C15" s="83" t="s">
        <v>395</v>
      </c>
      <c r="D15" s="344">
        <v>44136</v>
      </c>
      <c r="E15" s="77">
        <v>44137</v>
      </c>
      <c r="F15" s="345"/>
      <c r="G15" s="346"/>
      <c r="H15" s="347"/>
    </row>
    <row r="16" spans="1:8" ht="25.5" x14ac:dyDescent="0.25">
      <c r="A16" s="75">
        <f t="shared" si="0"/>
        <v>4</v>
      </c>
      <c r="B16" s="343">
        <v>4</v>
      </c>
      <c r="C16" s="83" t="s">
        <v>395</v>
      </c>
      <c r="D16" s="344">
        <v>44166</v>
      </c>
      <c r="E16" s="77">
        <v>44170</v>
      </c>
      <c r="F16" s="345"/>
      <c r="G16" s="346"/>
      <c r="H16" s="347"/>
    </row>
    <row r="17" spans="1:8" ht="25.5" x14ac:dyDescent="0.25">
      <c r="A17" s="75">
        <f t="shared" si="0"/>
        <v>5</v>
      </c>
      <c r="B17" s="343">
        <v>5</v>
      </c>
      <c r="C17" s="83" t="s">
        <v>395</v>
      </c>
      <c r="D17" s="344">
        <v>44197</v>
      </c>
      <c r="E17" s="77">
        <v>44201</v>
      </c>
      <c r="F17" s="345"/>
      <c r="G17" s="346"/>
      <c r="H17" s="347"/>
    </row>
    <row r="18" spans="1:8" ht="25.5" x14ac:dyDescent="0.25">
      <c r="A18" s="75">
        <f t="shared" si="0"/>
        <v>6</v>
      </c>
      <c r="B18" s="343">
        <v>6</v>
      </c>
      <c r="C18" s="83" t="s">
        <v>395</v>
      </c>
      <c r="D18" s="344">
        <v>44228</v>
      </c>
      <c r="E18" s="77">
        <v>44230</v>
      </c>
      <c r="F18" s="345"/>
      <c r="G18" s="346"/>
      <c r="H18" s="347"/>
    </row>
    <row r="19" spans="1:8" ht="25.5" x14ac:dyDescent="0.25">
      <c r="A19" s="75">
        <f t="shared" si="0"/>
        <v>7</v>
      </c>
      <c r="B19" s="343">
        <v>7</v>
      </c>
      <c r="C19" s="83" t="s">
        <v>395</v>
      </c>
      <c r="D19" s="344">
        <v>44256</v>
      </c>
      <c r="E19" s="77">
        <v>44259</v>
      </c>
      <c r="F19" s="345"/>
      <c r="G19" s="346"/>
      <c r="H19" s="347"/>
    </row>
    <row r="20" spans="1:8" ht="25.5" x14ac:dyDescent="0.25">
      <c r="A20" s="75">
        <f t="shared" si="0"/>
        <v>8</v>
      </c>
      <c r="B20" s="343">
        <v>8</v>
      </c>
      <c r="C20" s="83" t="s">
        <v>395</v>
      </c>
      <c r="D20" s="344">
        <v>44287</v>
      </c>
      <c r="E20" s="77">
        <v>44291</v>
      </c>
      <c r="F20" s="345"/>
      <c r="G20" s="346"/>
      <c r="H20" s="347"/>
    </row>
    <row r="21" spans="1:8" ht="15.75" customHeight="1" x14ac:dyDescent="0.25">
      <c r="A21" s="75">
        <f t="shared" si="0"/>
        <v>9</v>
      </c>
      <c r="B21" s="343">
        <v>9</v>
      </c>
      <c r="C21" s="83" t="s">
        <v>395</v>
      </c>
      <c r="D21" s="344">
        <v>44317</v>
      </c>
      <c r="E21" s="77">
        <v>44319</v>
      </c>
      <c r="F21" s="345"/>
      <c r="G21" s="346"/>
      <c r="H21" s="347"/>
    </row>
    <row r="22" spans="1:8" ht="15.75" customHeight="1" x14ac:dyDescent="0.25">
      <c r="A22" s="75">
        <f t="shared" si="0"/>
        <v>10</v>
      </c>
      <c r="B22" s="343">
        <v>10</v>
      </c>
      <c r="C22" s="83" t="s">
        <v>395</v>
      </c>
      <c r="D22" s="344">
        <v>44348</v>
      </c>
      <c r="E22" s="77">
        <v>44351</v>
      </c>
      <c r="F22" s="345"/>
      <c r="G22" s="346"/>
      <c r="H22" s="347"/>
    </row>
    <row r="23" spans="1:8" ht="15.75" customHeight="1" x14ac:dyDescent="0.25">
      <c r="A23" s="75">
        <f t="shared" si="0"/>
        <v>11</v>
      </c>
      <c r="B23" s="343">
        <v>11</v>
      </c>
      <c r="C23" s="76" t="s">
        <v>395</v>
      </c>
      <c r="D23" s="344">
        <v>44378</v>
      </c>
      <c r="E23" s="77">
        <v>44379</v>
      </c>
      <c r="F23" s="345"/>
      <c r="G23" s="346"/>
      <c r="H23" s="347"/>
    </row>
    <row r="24" spans="1:8" ht="15.75" customHeight="1" x14ac:dyDescent="0.25">
      <c r="A24" s="75">
        <f t="shared" si="0"/>
        <v>12</v>
      </c>
      <c r="B24" s="343">
        <v>12</v>
      </c>
      <c r="C24" s="83" t="s">
        <v>395</v>
      </c>
      <c r="D24" s="344">
        <v>44409</v>
      </c>
      <c r="E24" s="77">
        <v>44412</v>
      </c>
      <c r="F24" s="345"/>
      <c r="G24" s="346"/>
      <c r="H24" s="347"/>
    </row>
    <row r="25" spans="1:8" ht="15.75" customHeight="1" x14ac:dyDescent="0.25">
      <c r="A25" s="75">
        <f t="shared" si="0"/>
        <v>13</v>
      </c>
      <c r="B25" s="343">
        <v>13</v>
      </c>
      <c r="C25" s="83" t="s">
        <v>395</v>
      </c>
      <c r="D25" s="344">
        <v>44075</v>
      </c>
      <c r="E25" s="77">
        <v>44077</v>
      </c>
      <c r="F25" s="345"/>
      <c r="G25" s="346"/>
      <c r="H25" s="347"/>
    </row>
    <row r="26" spans="1:8" ht="15.75" customHeight="1" x14ac:dyDescent="0.25">
      <c r="A26" s="75">
        <f t="shared" si="0"/>
        <v>14</v>
      </c>
      <c r="B26" s="343">
        <v>14</v>
      </c>
      <c r="C26" s="83" t="s">
        <v>395</v>
      </c>
      <c r="D26" s="344">
        <v>44105</v>
      </c>
      <c r="E26" s="77">
        <v>44077</v>
      </c>
      <c r="F26" s="345"/>
      <c r="G26" s="346"/>
      <c r="H26" s="347"/>
    </row>
    <row r="27" spans="1:8" ht="15.75" customHeight="1" x14ac:dyDescent="0.25">
      <c r="A27" s="75">
        <f t="shared" si="0"/>
        <v>15</v>
      </c>
      <c r="B27" s="343">
        <v>15</v>
      </c>
      <c r="C27" s="83" t="s">
        <v>395</v>
      </c>
      <c r="D27" s="344">
        <v>44136</v>
      </c>
      <c r="E27" s="77">
        <v>44137</v>
      </c>
      <c r="F27" s="345"/>
      <c r="G27" s="346"/>
      <c r="H27" s="347"/>
    </row>
    <row r="28" spans="1:8" ht="15.75" customHeight="1" x14ac:dyDescent="0.25">
      <c r="A28" s="75">
        <f t="shared" si="0"/>
        <v>16</v>
      </c>
      <c r="B28" s="343">
        <v>16</v>
      </c>
      <c r="C28" s="83" t="s">
        <v>395</v>
      </c>
      <c r="D28" s="344">
        <v>44166</v>
      </c>
      <c r="E28" s="77">
        <v>44170</v>
      </c>
      <c r="F28" s="345"/>
      <c r="G28" s="346"/>
      <c r="H28" s="347"/>
    </row>
    <row r="29" spans="1:8" ht="15.75" customHeight="1" x14ac:dyDescent="0.25">
      <c r="A29" s="75">
        <f t="shared" si="0"/>
        <v>17</v>
      </c>
      <c r="B29" s="343">
        <v>17</v>
      </c>
      <c r="C29" s="83" t="s">
        <v>395</v>
      </c>
      <c r="D29" s="344">
        <v>44197</v>
      </c>
      <c r="E29" s="77">
        <v>44201</v>
      </c>
      <c r="F29" s="345"/>
      <c r="G29" s="346"/>
      <c r="H29" s="347"/>
    </row>
    <row r="30" spans="1:8" ht="15.75" customHeight="1" x14ac:dyDescent="0.25">
      <c r="A30" s="75">
        <f t="shared" si="0"/>
        <v>18</v>
      </c>
      <c r="B30" s="343">
        <v>18</v>
      </c>
      <c r="C30" s="83" t="s">
        <v>395</v>
      </c>
      <c r="D30" s="344">
        <v>44228</v>
      </c>
      <c r="E30" s="77">
        <v>44230</v>
      </c>
      <c r="F30" s="345"/>
      <c r="G30" s="346"/>
      <c r="H30" s="347"/>
    </row>
    <row r="31" spans="1:8" ht="15.75" customHeight="1" x14ac:dyDescent="0.25">
      <c r="A31" s="75">
        <f t="shared" si="0"/>
        <v>19</v>
      </c>
      <c r="B31" s="343">
        <v>19</v>
      </c>
      <c r="C31" s="83" t="s">
        <v>395</v>
      </c>
      <c r="D31" s="344">
        <v>44256</v>
      </c>
      <c r="E31" s="77">
        <v>44259</v>
      </c>
      <c r="F31" s="345"/>
      <c r="G31" s="346"/>
      <c r="H31" s="347"/>
    </row>
    <row r="32" spans="1:8" ht="15.75" customHeight="1" x14ac:dyDescent="0.25">
      <c r="A32" s="75">
        <f t="shared" si="0"/>
        <v>20</v>
      </c>
      <c r="B32" s="343">
        <v>20</v>
      </c>
      <c r="C32" s="83" t="s">
        <v>395</v>
      </c>
      <c r="D32" s="344">
        <v>44287</v>
      </c>
      <c r="E32" s="77">
        <v>44291</v>
      </c>
      <c r="F32" s="345"/>
      <c r="G32" s="346"/>
      <c r="H32" s="347"/>
    </row>
    <row r="33" spans="1:8" ht="15.75" customHeight="1" x14ac:dyDescent="0.25">
      <c r="A33" s="75">
        <f t="shared" si="0"/>
        <v>21</v>
      </c>
      <c r="B33" s="343">
        <v>21</v>
      </c>
      <c r="C33" s="76" t="s">
        <v>395</v>
      </c>
      <c r="D33" s="344">
        <v>44317</v>
      </c>
      <c r="E33" s="77">
        <v>44319</v>
      </c>
      <c r="F33" s="345"/>
      <c r="G33" s="346"/>
      <c r="H33" s="347"/>
    </row>
    <row r="34" spans="1:8" ht="15.75" customHeight="1" x14ac:dyDescent="0.25">
      <c r="A34" s="75">
        <f t="shared" si="0"/>
        <v>22</v>
      </c>
      <c r="B34" s="343">
        <v>22</v>
      </c>
      <c r="C34" s="83" t="s">
        <v>395</v>
      </c>
      <c r="D34" s="344">
        <v>44348</v>
      </c>
      <c r="E34" s="77">
        <v>44351</v>
      </c>
      <c r="F34" s="345"/>
      <c r="G34" s="346"/>
      <c r="H34" s="347"/>
    </row>
    <row r="35" spans="1:8" ht="15.75" customHeight="1" x14ac:dyDescent="0.25">
      <c r="A35" s="75">
        <f t="shared" si="0"/>
        <v>23</v>
      </c>
      <c r="B35" s="343">
        <v>23</v>
      </c>
      <c r="C35" s="83" t="s">
        <v>395</v>
      </c>
      <c r="D35" s="344">
        <v>44378</v>
      </c>
      <c r="E35" s="77">
        <v>44379</v>
      </c>
      <c r="F35" s="345"/>
      <c r="G35" s="346"/>
      <c r="H35" s="347"/>
    </row>
    <row r="36" spans="1:8" ht="15.75" customHeight="1" x14ac:dyDescent="0.25">
      <c r="A36" s="75">
        <f t="shared" si="0"/>
        <v>24</v>
      </c>
      <c r="B36" s="343">
        <v>24</v>
      </c>
      <c r="C36" s="83" t="s">
        <v>395</v>
      </c>
      <c r="D36" s="344">
        <v>44409</v>
      </c>
      <c r="E36" s="77">
        <v>44412</v>
      </c>
      <c r="F36" s="345"/>
      <c r="G36" s="346"/>
      <c r="H36" s="347"/>
    </row>
    <row r="37" spans="1:8" ht="15.75" customHeight="1" x14ac:dyDescent="0.25">
      <c r="A37" s="75">
        <f t="shared" si="0"/>
        <v>25</v>
      </c>
      <c r="B37" s="343">
        <v>25</v>
      </c>
      <c r="C37" s="83" t="s">
        <v>395</v>
      </c>
      <c r="D37" s="344">
        <v>44075</v>
      </c>
      <c r="E37" s="77">
        <v>44077</v>
      </c>
      <c r="F37" s="345"/>
      <c r="G37" s="346"/>
      <c r="H37" s="347"/>
    </row>
    <row r="38" spans="1:8" ht="15.75" customHeight="1" x14ac:dyDescent="0.25">
      <c r="A38" s="75">
        <f t="shared" si="0"/>
        <v>26</v>
      </c>
      <c r="B38" s="343">
        <v>26</v>
      </c>
      <c r="C38" s="83" t="s">
        <v>395</v>
      </c>
      <c r="D38" s="344">
        <v>44105</v>
      </c>
      <c r="E38" s="77">
        <v>44077</v>
      </c>
      <c r="F38" s="345"/>
      <c r="G38" s="346"/>
      <c r="H38" s="347"/>
    </row>
    <row r="39" spans="1:8" ht="15.75" customHeight="1" x14ac:dyDescent="0.25">
      <c r="A39" s="75">
        <f t="shared" si="0"/>
        <v>27</v>
      </c>
      <c r="B39" s="343">
        <v>27</v>
      </c>
      <c r="C39" s="83" t="s">
        <v>395</v>
      </c>
      <c r="D39" s="344">
        <v>44136</v>
      </c>
      <c r="E39" s="77">
        <v>44137</v>
      </c>
      <c r="F39" s="345"/>
      <c r="G39" s="346"/>
      <c r="H39" s="347"/>
    </row>
    <row r="40" spans="1:8" ht="15.75" customHeight="1" x14ac:dyDescent="0.25">
      <c r="A40" s="75">
        <f t="shared" si="0"/>
        <v>28</v>
      </c>
      <c r="B40" s="343">
        <v>28</v>
      </c>
      <c r="C40" s="83" t="s">
        <v>395</v>
      </c>
      <c r="D40" s="344">
        <v>44166</v>
      </c>
      <c r="E40" s="77">
        <v>44170</v>
      </c>
      <c r="F40" s="345"/>
      <c r="G40" s="346"/>
      <c r="H40" s="347"/>
    </row>
    <row r="41" spans="1:8" ht="15.75" customHeight="1" x14ac:dyDescent="0.25">
      <c r="A41" s="75">
        <f t="shared" si="0"/>
        <v>29</v>
      </c>
      <c r="B41" s="343">
        <v>29</v>
      </c>
      <c r="C41" s="83" t="s">
        <v>395</v>
      </c>
      <c r="D41" s="344">
        <v>44197</v>
      </c>
      <c r="E41" s="77">
        <v>44201</v>
      </c>
      <c r="F41" s="345"/>
      <c r="G41" s="346"/>
      <c r="H41" s="347"/>
    </row>
    <row r="42" spans="1:8" ht="15.75" customHeight="1" x14ac:dyDescent="0.25">
      <c r="A42" s="75">
        <f t="shared" si="0"/>
        <v>30</v>
      </c>
      <c r="B42" s="343">
        <v>30</v>
      </c>
      <c r="C42" s="83" t="s">
        <v>395</v>
      </c>
      <c r="D42" s="344">
        <v>44228</v>
      </c>
      <c r="E42" s="77">
        <v>44230</v>
      </c>
      <c r="F42" s="345"/>
      <c r="G42" s="346"/>
      <c r="H42" s="347"/>
    </row>
    <row r="43" spans="1:8" ht="15.75" customHeight="1" x14ac:dyDescent="0.25">
      <c r="A43" s="75">
        <f t="shared" si="0"/>
        <v>31</v>
      </c>
      <c r="B43" s="343">
        <v>31</v>
      </c>
      <c r="C43" s="76" t="s">
        <v>395</v>
      </c>
      <c r="D43" s="344">
        <v>44256</v>
      </c>
      <c r="E43" s="77">
        <v>44259</v>
      </c>
      <c r="F43" s="345"/>
      <c r="G43" s="346"/>
      <c r="H43" s="347"/>
    </row>
    <row r="44" spans="1:8" ht="15.75" customHeight="1" x14ac:dyDescent="0.25">
      <c r="A44" s="75">
        <f t="shared" si="0"/>
        <v>32</v>
      </c>
      <c r="B44" s="343">
        <v>32</v>
      </c>
      <c r="C44" s="83" t="s">
        <v>395</v>
      </c>
      <c r="D44" s="344">
        <v>44287</v>
      </c>
      <c r="E44" s="77">
        <v>44291</v>
      </c>
      <c r="F44" s="345"/>
      <c r="G44" s="346"/>
      <c r="H44" s="347"/>
    </row>
    <row r="45" spans="1:8" ht="15.75" customHeight="1" x14ac:dyDescent="0.25">
      <c r="A45" s="75">
        <f t="shared" si="0"/>
        <v>33</v>
      </c>
      <c r="B45" s="343">
        <v>33</v>
      </c>
      <c r="C45" s="83" t="s">
        <v>395</v>
      </c>
      <c r="D45" s="344">
        <v>44317</v>
      </c>
      <c r="E45" s="77">
        <v>44319</v>
      </c>
      <c r="F45" s="345"/>
      <c r="G45" s="346"/>
      <c r="H45" s="347"/>
    </row>
    <row r="46" spans="1:8" ht="15.75" customHeight="1" x14ac:dyDescent="0.25">
      <c r="A46" s="75">
        <f t="shared" si="0"/>
        <v>34</v>
      </c>
      <c r="B46" s="343">
        <v>34</v>
      </c>
      <c r="C46" s="83" t="s">
        <v>395</v>
      </c>
      <c r="D46" s="344">
        <v>44348</v>
      </c>
      <c r="E46" s="77">
        <v>44351</v>
      </c>
      <c r="F46" s="345"/>
      <c r="G46" s="346"/>
      <c r="H46" s="347"/>
    </row>
    <row r="47" spans="1:8" ht="15.75" customHeight="1" x14ac:dyDescent="0.25">
      <c r="A47" s="75">
        <f t="shared" si="0"/>
        <v>35</v>
      </c>
      <c r="B47" s="343">
        <v>35</v>
      </c>
      <c r="C47" s="83" t="s">
        <v>395</v>
      </c>
      <c r="D47" s="344">
        <v>44378</v>
      </c>
      <c r="E47" s="77">
        <v>44379</v>
      </c>
      <c r="F47" s="345"/>
      <c r="G47" s="346"/>
      <c r="H47" s="347"/>
    </row>
    <row r="48" spans="1:8" ht="15.75" customHeight="1" x14ac:dyDescent="0.25">
      <c r="A48" s="75">
        <f t="shared" si="0"/>
        <v>36</v>
      </c>
      <c r="B48" s="343">
        <v>36</v>
      </c>
      <c r="C48" s="83" t="s">
        <v>395</v>
      </c>
      <c r="D48" s="344">
        <v>44409</v>
      </c>
      <c r="E48" s="77">
        <v>44412</v>
      </c>
      <c r="F48" s="345"/>
      <c r="G48" s="346"/>
      <c r="H48" s="347"/>
    </row>
    <row r="49" spans="1:8" ht="15.75" customHeight="1" x14ac:dyDescent="0.25">
      <c r="A49" s="75">
        <f t="shared" si="0"/>
        <v>37</v>
      </c>
      <c r="B49" s="343">
        <v>37</v>
      </c>
      <c r="C49" s="83" t="s">
        <v>395</v>
      </c>
      <c r="D49" s="344">
        <v>44075</v>
      </c>
      <c r="E49" s="77">
        <v>44077</v>
      </c>
      <c r="F49" s="345"/>
      <c r="G49" s="346"/>
      <c r="H49" s="347"/>
    </row>
    <row r="50" spans="1:8" ht="15.75" customHeight="1" x14ac:dyDescent="0.25">
      <c r="A50" s="75">
        <f t="shared" si="0"/>
        <v>38</v>
      </c>
      <c r="B50" s="343">
        <v>38</v>
      </c>
      <c r="C50" s="83" t="s">
        <v>395</v>
      </c>
      <c r="D50" s="344">
        <v>44105</v>
      </c>
      <c r="E50" s="77">
        <v>44077</v>
      </c>
      <c r="F50" s="345"/>
      <c r="G50" s="346"/>
      <c r="H50" s="347"/>
    </row>
    <row r="51" spans="1:8" ht="15.75" customHeight="1" x14ac:dyDescent="0.25">
      <c r="A51" s="75">
        <f t="shared" si="0"/>
        <v>39</v>
      </c>
      <c r="B51" s="343">
        <v>39</v>
      </c>
      <c r="C51" s="83" t="s">
        <v>395</v>
      </c>
      <c r="D51" s="344">
        <v>44136</v>
      </c>
      <c r="E51" s="77">
        <v>44137</v>
      </c>
      <c r="F51" s="345"/>
      <c r="G51" s="346"/>
      <c r="H51" s="347"/>
    </row>
    <row r="52" spans="1:8" ht="15.75" customHeight="1" x14ac:dyDescent="0.25">
      <c r="A52" s="75">
        <f t="shared" si="0"/>
        <v>40</v>
      </c>
      <c r="B52" s="343">
        <v>40</v>
      </c>
      <c r="C52" s="83" t="s">
        <v>395</v>
      </c>
      <c r="D52" s="344">
        <v>44166</v>
      </c>
      <c r="E52" s="77">
        <v>44170</v>
      </c>
      <c r="F52" s="345"/>
      <c r="G52" s="346"/>
      <c r="H52" s="347"/>
    </row>
    <row r="53" spans="1:8" ht="15.75" customHeight="1" x14ac:dyDescent="0.25">
      <c r="A53" s="75">
        <f t="shared" si="0"/>
        <v>41</v>
      </c>
      <c r="B53" s="343">
        <v>41</v>
      </c>
      <c r="C53" s="76" t="s">
        <v>395</v>
      </c>
      <c r="D53" s="344">
        <v>44197</v>
      </c>
      <c r="E53" s="77">
        <v>44201</v>
      </c>
      <c r="F53" s="345"/>
      <c r="G53" s="346"/>
      <c r="H53" s="347"/>
    </row>
    <row r="54" spans="1:8" ht="15.75" customHeight="1" x14ac:dyDescent="0.25">
      <c r="A54" s="75">
        <f t="shared" si="0"/>
        <v>42</v>
      </c>
      <c r="B54" s="343">
        <v>42</v>
      </c>
      <c r="C54" s="83" t="s">
        <v>395</v>
      </c>
      <c r="D54" s="344">
        <v>44228</v>
      </c>
      <c r="E54" s="77">
        <v>44230</v>
      </c>
      <c r="F54" s="345"/>
      <c r="G54" s="346"/>
      <c r="H54" s="347"/>
    </row>
    <row r="55" spans="1:8" ht="15.75" customHeight="1" x14ac:dyDescent="0.25">
      <c r="A55" s="75">
        <f t="shared" si="0"/>
        <v>43</v>
      </c>
      <c r="B55" s="343">
        <v>43</v>
      </c>
      <c r="C55" s="83" t="s">
        <v>395</v>
      </c>
      <c r="D55" s="344">
        <v>44256</v>
      </c>
      <c r="E55" s="77">
        <v>44259</v>
      </c>
      <c r="F55" s="345"/>
      <c r="G55" s="346"/>
      <c r="H55" s="347"/>
    </row>
    <row r="56" spans="1:8" ht="15.75" customHeight="1" x14ac:dyDescent="0.25">
      <c r="A56" s="75">
        <f t="shared" si="0"/>
        <v>44</v>
      </c>
      <c r="B56" s="343">
        <v>44</v>
      </c>
      <c r="C56" s="83" t="s">
        <v>395</v>
      </c>
      <c r="D56" s="344">
        <v>44287</v>
      </c>
      <c r="E56" s="77">
        <v>44291</v>
      </c>
      <c r="F56" s="345"/>
      <c r="G56" s="346"/>
      <c r="H56" s="347"/>
    </row>
    <row r="57" spans="1:8" ht="15.75" customHeight="1" x14ac:dyDescent="0.25">
      <c r="A57" s="75">
        <f t="shared" si="0"/>
        <v>45</v>
      </c>
      <c r="B57" s="343">
        <v>45</v>
      </c>
      <c r="C57" s="83" t="s">
        <v>395</v>
      </c>
      <c r="D57" s="344">
        <v>44317</v>
      </c>
      <c r="E57" s="77">
        <v>44319</v>
      </c>
      <c r="F57" s="345"/>
      <c r="G57" s="346"/>
      <c r="H57" s="347"/>
    </row>
    <row r="58" spans="1:8" ht="15.75" customHeight="1" x14ac:dyDescent="0.25">
      <c r="A58" s="75">
        <f t="shared" si="0"/>
        <v>46</v>
      </c>
      <c r="B58" s="343">
        <v>46</v>
      </c>
      <c r="C58" s="83" t="s">
        <v>395</v>
      </c>
      <c r="D58" s="344">
        <v>44348</v>
      </c>
      <c r="E58" s="77">
        <v>44351</v>
      </c>
      <c r="F58" s="345"/>
      <c r="G58" s="346"/>
      <c r="H58" s="347"/>
    </row>
    <row r="59" spans="1:8" ht="15.75" customHeight="1" x14ac:dyDescent="0.25">
      <c r="A59" s="75">
        <f t="shared" si="0"/>
        <v>47</v>
      </c>
      <c r="B59" s="343">
        <v>47</v>
      </c>
      <c r="C59" s="83" t="s">
        <v>395</v>
      </c>
      <c r="D59" s="344">
        <v>44378</v>
      </c>
      <c r="E59" s="77">
        <v>44379</v>
      </c>
      <c r="F59" s="345"/>
      <c r="G59" s="346"/>
      <c r="H59" s="347"/>
    </row>
    <row r="60" spans="1:8" ht="15.75" customHeight="1" x14ac:dyDescent="0.25">
      <c r="A60" s="75">
        <f t="shared" si="0"/>
        <v>48</v>
      </c>
      <c r="B60" s="343">
        <v>48</v>
      </c>
      <c r="C60" s="83" t="s">
        <v>395</v>
      </c>
      <c r="D60" s="344">
        <v>44409</v>
      </c>
      <c r="E60" s="77">
        <v>44412</v>
      </c>
      <c r="F60" s="345"/>
      <c r="G60" s="346"/>
      <c r="H60" s="347"/>
    </row>
    <row r="61" spans="1:8" ht="15.75" customHeight="1" x14ac:dyDescent="0.25">
      <c r="A61" s="75">
        <f t="shared" si="0"/>
        <v>49</v>
      </c>
      <c r="B61" s="343">
        <v>49</v>
      </c>
      <c r="C61" s="83" t="s">
        <v>395</v>
      </c>
      <c r="D61" s="344">
        <v>44075</v>
      </c>
      <c r="E61" s="77">
        <v>44076</v>
      </c>
      <c r="F61" s="345"/>
      <c r="G61" s="346"/>
      <c r="H61" s="347"/>
    </row>
    <row r="62" spans="1:8" ht="15.75" customHeight="1" x14ac:dyDescent="0.25">
      <c r="A62" s="75">
        <f t="shared" si="0"/>
        <v>50</v>
      </c>
      <c r="B62" s="343">
        <v>50</v>
      </c>
      <c r="C62" s="83" t="s">
        <v>395</v>
      </c>
      <c r="D62" s="344">
        <v>44105</v>
      </c>
      <c r="E62" s="77">
        <v>44139</v>
      </c>
      <c r="F62" s="345"/>
      <c r="G62" s="346"/>
      <c r="H62" s="347"/>
    </row>
    <row r="63" spans="1:8" ht="15.75" customHeight="1" x14ac:dyDescent="0.25"/>
    <row r="64" spans="1:8"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1:E11"/>
    <mergeCell ref="F11:H11"/>
  </mergeCells>
  <conditionalFormatting sqref="F13:H62">
    <cfRule type="expression" dxfId="17" priority="1">
      <formula>$AM13="YES"</formula>
    </cfRule>
    <cfRule type="expression" dxfId="16" priority="2">
      <formula>$Z13="YES"</formula>
    </cfRule>
  </conditionalFormatting>
  <dataValidations count="3">
    <dataValidation type="date" allowBlank="1" showInputMessage="1" showErrorMessage="1" prompt="Be careful with date formatting. Use Month - Day - Year  0/0/0000" sqref="H13:H62" xr:uid="{00000000-0002-0000-0E00-000000000000}">
      <formula1>43617</formula1>
      <formula2>44377</formula2>
    </dataValidation>
    <dataValidation type="custom" allowBlank="1" showInputMessage="1" showErrorMessage="1" prompt="Internal Client I.D.  Use alphabet and/or number characters only. Limit to 15 characters. Needs to match GPRA. " sqref="C13:C62" xr:uid="{00000000-0002-0000-0E00-000001000000}">
      <formula1>AND(ISNUMBER(SUMPRODUCT(SEARCH(MID(C13,ROW(INDIRECT("1:15"&amp;LEN(C13))),1),"0123456789ABCDEFGHIJKLMNOPQRSTUVWXYZ"))),LEN(C13)&lt;=15)</formula1>
    </dataValidation>
    <dataValidation type="date" allowBlank="1" showInputMessage="1" showErrorMessage="1" prompt="Use Month/Day/Year; If date is not applicable leave blank" sqref="G13:G62" xr:uid="{00000000-0002-0000-0E00-000002000000}">
      <formula1>43709</formula1>
      <formula2>45930</formula2>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sheetPr>
  <dimension ref="A1:AE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0.7109375" customWidth="1"/>
    <col min="4" max="4" width="12.42578125" customWidth="1"/>
    <col min="5" max="5" width="16" customWidth="1"/>
    <col min="6" max="6" width="15" customWidth="1"/>
    <col min="7" max="7" width="12.7109375" customWidth="1"/>
    <col min="8" max="8" width="16.7109375" customWidth="1"/>
    <col min="9" max="9" width="18.85546875" customWidth="1"/>
    <col min="10" max="10" width="20" customWidth="1"/>
    <col min="11" max="11" width="12.28515625" customWidth="1"/>
    <col min="12" max="12" width="21.140625" customWidth="1"/>
    <col min="13" max="13" width="16.7109375" customWidth="1"/>
    <col min="14" max="14" width="17.85546875" customWidth="1"/>
    <col min="15" max="15" width="16.42578125" customWidth="1"/>
    <col min="16" max="16" width="16" customWidth="1"/>
    <col min="17" max="17" width="13.42578125" customWidth="1"/>
    <col min="18" max="18" width="10.7109375" customWidth="1"/>
    <col min="19" max="19" width="11" customWidth="1"/>
    <col min="20" max="22" width="10.7109375" customWidth="1"/>
    <col min="23" max="23" width="8.7109375" customWidth="1"/>
    <col min="24" max="24" width="10" customWidth="1"/>
    <col min="25" max="25" width="12.140625" customWidth="1"/>
    <col min="26" max="26" width="11" customWidth="1"/>
    <col min="27" max="27" width="10.85546875" customWidth="1"/>
    <col min="28" max="28" width="10.28515625" customWidth="1"/>
    <col min="29" max="31" width="8.7109375" customWidth="1"/>
  </cols>
  <sheetData>
    <row r="1" spans="1:31" ht="69.75" customHeight="1" x14ac:dyDescent="0.25">
      <c r="A1" s="89" t="s">
        <v>27</v>
      </c>
      <c r="B1" s="124" t="s">
        <v>212</v>
      </c>
      <c r="C1" s="125" t="s">
        <v>213</v>
      </c>
      <c r="D1" s="124" t="s">
        <v>214</v>
      </c>
      <c r="E1" s="348" t="s">
        <v>396</v>
      </c>
      <c r="F1" s="95" t="s">
        <v>397</v>
      </c>
      <c r="G1" s="349" t="s">
        <v>398</v>
      </c>
      <c r="H1" s="350" t="s">
        <v>399</v>
      </c>
      <c r="I1" s="351" t="s">
        <v>219</v>
      </c>
      <c r="J1" s="118" t="s">
        <v>400</v>
      </c>
      <c r="K1" s="352" t="s">
        <v>401</v>
      </c>
      <c r="L1" s="94" t="s">
        <v>402</v>
      </c>
      <c r="M1" s="95" t="s">
        <v>403</v>
      </c>
      <c r="N1" s="353" t="s">
        <v>404</v>
      </c>
      <c r="O1" s="354" t="s">
        <v>405</v>
      </c>
      <c r="P1" s="355" t="s">
        <v>406</v>
      </c>
      <c r="Q1" s="356" t="s">
        <v>407</v>
      </c>
      <c r="R1" s="357" t="s">
        <v>408</v>
      </c>
      <c r="S1" s="358" t="s">
        <v>409</v>
      </c>
      <c r="T1" s="359" t="s">
        <v>410</v>
      </c>
      <c r="U1" s="360" t="s">
        <v>411</v>
      </c>
      <c r="V1" s="361" t="s">
        <v>412</v>
      </c>
      <c r="W1" s="362" t="s">
        <v>413</v>
      </c>
      <c r="X1" s="363" t="s">
        <v>414</v>
      </c>
      <c r="Y1" s="364" t="s">
        <v>415</v>
      </c>
      <c r="Z1" s="365" t="s">
        <v>416</v>
      </c>
      <c r="AA1" s="366" t="s">
        <v>417</v>
      </c>
      <c r="AB1" s="367" t="s">
        <v>418</v>
      </c>
      <c r="AC1" s="368"/>
      <c r="AE1" s="369"/>
    </row>
    <row r="2" spans="1:31" ht="15.75" x14ac:dyDescent="0.25">
      <c r="A2" s="785" t="str">
        <f>'BASE GRANTEE INFO &amp; UPDATES'!A1</f>
        <v>WV Bureau For Behavioral Health - Harm Reduction 2025</v>
      </c>
      <c r="B2" s="705"/>
      <c r="C2" s="705"/>
      <c r="D2" s="705"/>
      <c r="E2" s="705"/>
      <c r="F2" s="705"/>
      <c r="G2" s="705"/>
      <c r="H2" s="705"/>
      <c r="I2" s="705"/>
      <c r="J2" s="705"/>
      <c r="K2" s="705"/>
      <c r="L2" s="833"/>
      <c r="M2" s="160"/>
      <c r="N2" s="160"/>
      <c r="O2" s="160"/>
      <c r="P2" s="160"/>
      <c r="Q2" s="160"/>
      <c r="R2" s="161"/>
      <c r="S2" s="164"/>
      <c r="T2" s="164"/>
      <c r="U2" s="164"/>
      <c r="V2" s="161"/>
      <c r="W2" s="164"/>
      <c r="X2" s="164"/>
      <c r="Y2" s="164"/>
      <c r="Z2" s="164"/>
      <c r="AA2" s="164"/>
      <c r="AB2" s="164"/>
      <c r="AC2" s="370"/>
    </row>
    <row r="3" spans="1:31" ht="15.75" x14ac:dyDescent="0.25">
      <c r="A3" s="786">
        <f>'BASE GRANTEE INFO &amp; UPDATES'!A2</f>
        <v>0</v>
      </c>
      <c r="B3" s="708"/>
      <c r="C3" s="708"/>
      <c r="D3" s="708"/>
      <c r="E3" s="708"/>
      <c r="F3" s="708"/>
      <c r="G3" s="708"/>
      <c r="H3" s="708"/>
      <c r="I3" s="708"/>
      <c r="J3" s="708"/>
      <c r="K3" s="708"/>
      <c r="L3" s="709"/>
      <c r="M3" s="164"/>
      <c r="N3" s="164"/>
      <c r="O3" s="164"/>
      <c r="P3" s="163"/>
      <c r="Q3" s="163"/>
      <c r="R3" s="164"/>
      <c r="S3" s="164"/>
      <c r="T3" s="164"/>
      <c r="U3" s="164"/>
      <c r="V3" s="164"/>
      <c r="W3" s="164"/>
      <c r="X3" s="164"/>
      <c r="Y3" s="164"/>
      <c r="Z3" s="164"/>
      <c r="AA3" s="164"/>
      <c r="AB3" s="164"/>
      <c r="AC3" s="304"/>
    </row>
    <row r="4" spans="1:31" ht="15.75" x14ac:dyDescent="0.25">
      <c r="A4" s="787" t="str">
        <f>'BASE GRANTEE INFO &amp; UPDATES'!A3</f>
        <v xml:space="preserve">Program reports need to be submitted electronically, via e-mail to BBHReporting@wv.gov  within 25 calendar days of the end of each month </v>
      </c>
      <c r="B4" s="708"/>
      <c r="C4" s="708"/>
      <c r="D4" s="708"/>
      <c r="E4" s="708"/>
      <c r="F4" s="708"/>
      <c r="G4" s="708"/>
      <c r="H4" s="708"/>
      <c r="I4" s="708"/>
      <c r="J4" s="708"/>
      <c r="K4" s="708"/>
      <c r="L4" s="709"/>
      <c r="M4" s="164"/>
      <c r="N4" s="164"/>
      <c r="O4" s="164"/>
      <c r="P4" s="166"/>
      <c r="Q4" s="166"/>
      <c r="R4" s="164"/>
      <c r="S4" s="164"/>
      <c r="T4" s="164"/>
      <c r="U4" s="164"/>
      <c r="V4" s="164"/>
      <c r="W4" s="164"/>
      <c r="X4" s="164"/>
      <c r="Y4" s="164"/>
      <c r="Z4" s="164"/>
      <c r="AA4" s="164"/>
      <c r="AB4" s="164"/>
      <c r="AC4" s="304"/>
    </row>
    <row r="5" spans="1:31" ht="18.75" x14ac:dyDescent="0.25">
      <c r="A5" s="835" t="s">
        <v>222</v>
      </c>
      <c r="B5" s="708"/>
      <c r="C5" s="708"/>
      <c r="D5" s="708"/>
      <c r="E5" s="708"/>
      <c r="F5" s="708"/>
      <c r="G5" s="708"/>
      <c r="H5" s="708"/>
      <c r="I5" s="708"/>
      <c r="J5" s="708"/>
      <c r="K5" s="708"/>
      <c r="L5" s="709"/>
      <c r="M5" s="164"/>
      <c r="N5" s="164"/>
      <c r="O5" s="164"/>
      <c r="P5" s="168"/>
      <c r="Q5" s="168"/>
      <c r="R5" s="164"/>
      <c r="S5" s="164"/>
      <c r="T5" s="164"/>
      <c r="U5" s="164"/>
      <c r="V5" s="164"/>
      <c r="W5" s="164"/>
      <c r="X5" s="164"/>
      <c r="Y5" s="164"/>
      <c r="Z5" s="164"/>
      <c r="AA5" s="164"/>
      <c r="AB5" s="164"/>
      <c r="AC5" s="304"/>
    </row>
    <row r="6" spans="1:31" ht="19.5" customHeight="1" x14ac:dyDescent="0.25">
      <c r="A6" s="790" t="s">
        <v>419</v>
      </c>
      <c r="B6" s="698"/>
      <c r="C6" s="698"/>
      <c r="D6" s="699"/>
      <c r="E6" s="794" t="str">
        <f>'BASE GRANTEE INFO &amp; UPDATES'!E5</f>
        <v>Harm Reduction Program</v>
      </c>
      <c r="F6" s="698"/>
      <c r="G6" s="699"/>
      <c r="H6" s="795" t="s">
        <v>0</v>
      </c>
      <c r="I6" s="714"/>
      <c r="J6" s="832">
        <f>'BASE GRANTEE INFO &amp; UPDATES'!M5</f>
        <v>0</v>
      </c>
      <c r="K6" s="698"/>
      <c r="L6" s="699"/>
      <c r="M6" s="164"/>
      <c r="N6" s="164"/>
      <c r="O6" s="164"/>
      <c r="P6" s="164"/>
      <c r="Q6" s="164"/>
      <c r="R6" s="164"/>
      <c r="S6" s="164"/>
      <c r="T6" s="164"/>
      <c r="U6" s="164"/>
      <c r="V6" s="164"/>
      <c r="W6" s="164"/>
      <c r="X6" s="164"/>
      <c r="Y6" s="164"/>
      <c r="Z6" s="164"/>
      <c r="AA6" s="164"/>
      <c r="AB6" s="164"/>
      <c r="AC6" s="304"/>
    </row>
    <row r="7" spans="1:31" ht="19.5" customHeight="1" x14ac:dyDescent="0.25">
      <c r="A7" s="790" t="s">
        <v>420</v>
      </c>
      <c r="B7" s="698"/>
      <c r="C7" s="698"/>
      <c r="D7" s="699"/>
      <c r="E7" s="797">
        <f>'BASE GRANTEE INFO &amp; UPDATES'!E6</f>
        <v>0</v>
      </c>
      <c r="F7" s="698"/>
      <c r="G7" s="699"/>
      <c r="H7" s="795" t="s">
        <v>1</v>
      </c>
      <c r="I7" s="714"/>
      <c r="J7" s="832">
        <f>'BASE GRANTEE INFO &amp; UPDATES'!M6</f>
        <v>0</v>
      </c>
      <c r="K7" s="698"/>
      <c r="L7" s="699"/>
      <c r="M7" s="164"/>
      <c r="N7" s="164"/>
      <c r="O7" s="164"/>
      <c r="P7" s="164"/>
      <c r="Q7" s="164"/>
      <c r="R7" s="164"/>
      <c r="S7" s="164"/>
      <c r="T7" s="164"/>
      <c r="U7" s="164"/>
      <c r="V7" s="164"/>
      <c r="W7" s="164"/>
      <c r="X7" s="164"/>
      <c r="Y7" s="164"/>
      <c r="Z7" s="164"/>
      <c r="AA7" s="164"/>
      <c r="AB7" s="164"/>
      <c r="AC7" s="304"/>
    </row>
    <row r="8" spans="1:31" ht="19.5" customHeight="1" x14ac:dyDescent="0.25">
      <c r="A8" s="789" t="s">
        <v>2</v>
      </c>
      <c r="B8" s="766"/>
      <c r="C8" s="766"/>
      <c r="D8" s="767"/>
      <c r="E8" s="798">
        <f>'BASE GRANTEE INFO &amp; UPDATES'!E7</f>
        <v>0</v>
      </c>
      <c r="F8" s="766"/>
      <c r="G8" s="767"/>
      <c r="H8" s="795" t="s">
        <v>3</v>
      </c>
      <c r="I8" s="714"/>
      <c r="J8" s="832">
        <f>'BASE GRANTEE INFO &amp; UPDATES'!M7</f>
        <v>0</v>
      </c>
      <c r="K8" s="698"/>
      <c r="L8" s="699"/>
      <c r="M8" s="164"/>
      <c r="N8" s="164"/>
      <c r="O8" s="164"/>
      <c r="P8" s="164"/>
      <c r="Q8" s="164"/>
      <c r="R8" s="164"/>
      <c r="S8" s="164"/>
      <c r="T8" s="164"/>
      <c r="U8" s="164"/>
      <c r="V8" s="164"/>
      <c r="W8" s="164"/>
      <c r="X8" s="164"/>
      <c r="Y8" s="164"/>
      <c r="Z8" s="164"/>
      <c r="AA8" s="164"/>
      <c r="AB8" s="164"/>
      <c r="AC8" s="304"/>
    </row>
    <row r="9" spans="1:31" ht="19.5" customHeight="1" x14ac:dyDescent="0.25">
      <c r="A9" s="768"/>
      <c r="B9" s="769"/>
      <c r="C9" s="769"/>
      <c r="D9" s="770"/>
      <c r="E9" s="768"/>
      <c r="F9" s="769"/>
      <c r="G9" s="770"/>
      <c r="H9" s="792" t="s">
        <v>421</v>
      </c>
      <c r="I9" s="714"/>
      <c r="J9" s="832">
        <f>'BASE GRANTEE INFO &amp; UPDATES'!M8</f>
        <v>0</v>
      </c>
      <c r="K9" s="698"/>
      <c r="L9" s="699"/>
      <c r="M9" s="164"/>
      <c r="N9" s="164"/>
      <c r="O9" s="164"/>
      <c r="P9" s="164"/>
      <c r="Q9" s="164"/>
      <c r="R9" s="164"/>
      <c r="S9" s="164"/>
      <c r="T9" s="164"/>
      <c r="U9" s="164"/>
      <c r="V9" s="164"/>
      <c r="W9" s="164"/>
      <c r="X9" s="164"/>
      <c r="Y9" s="164"/>
      <c r="Z9" s="164"/>
      <c r="AA9" s="164"/>
      <c r="AB9" s="164"/>
      <c r="AC9" s="304"/>
    </row>
    <row r="10" spans="1:31" ht="19.5" customHeight="1" x14ac:dyDescent="0.25">
      <c r="A10" s="790" t="s">
        <v>422</v>
      </c>
      <c r="B10" s="698"/>
      <c r="C10" s="698"/>
      <c r="D10" s="699"/>
      <c r="E10" s="864" t="str">
        <f>'BASE GRANTEE INFO &amp; UPDATES'!E9</f>
        <v>September 1 - 30</v>
      </c>
      <c r="F10" s="699"/>
      <c r="G10" s="371">
        <f>'BASE GRANTEE INFO &amp; UPDATES'!G9</f>
        <v>2024</v>
      </c>
      <c r="H10" s="792" t="s">
        <v>423</v>
      </c>
      <c r="I10" s="714"/>
      <c r="J10" s="832">
        <f>'BASE GRANTEE INFO &amp; UPDATES'!M9</f>
        <v>0</v>
      </c>
      <c r="K10" s="698"/>
      <c r="L10" s="699"/>
      <c r="M10" s="164"/>
      <c r="N10" s="164"/>
      <c r="O10" s="164"/>
      <c r="P10" s="164"/>
      <c r="Q10" s="164"/>
      <c r="R10" s="164"/>
      <c r="S10" s="164"/>
      <c r="T10" s="164"/>
      <c r="U10" s="164"/>
      <c r="V10" s="164"/>
      <c r="W10" s="164"/>
      <c r="X10" s="164"/>
      <c r="Y10" s="164"/>
      <c r="Z10" s="164"/>
      <c r="AA10" s="164"/>
      <c r="AB10" s="164"/>
      <c r="AC10" s="305"/>
    </row>
    <row r="11" spans="1:31" ht="18.75" x14ac:dyDescent="0.25">
      <c r="A11" s="862" t="s">
        <v>424</v>
      </c>
      <c r="B11" s="711"/>
      <c r="C11" s="711"/>
      <c r="D11" s="711"/>
      <c r="E11" s="711"/>
      <c r="F11" s="711"/>
      <c r="G11" s="711"/>
      <c r="H11" s="711"/>
      <c r="I11" s="711"/>
      <c r="J11" s="711"/>
      <c r="K11" s="711"/>
      <c r="L11" s="757"/>
      <c r="M11" s="170"/>
      <c r="N11" s="170"/>
      <c r="O11" s="170"/>
      <c r="P11" s="170"/>
      <c r="Q11" s="170"/>
      <c r="R11" s="863" t="s">
        <v>425</v>
      </c>
      <c r="S11" s="698"/>
      <c r="T11" s="698"/>
      <c r="U11" s="698"/>
      <c r="V11" s="698"/>
      <c r="W11" s="699"/>
      <c r="X11" s="863" t="s">
        <v>426</v>
      </c>
      <c r="Y11" s="698"/>
      <c r="Z11" s="698"/>
      <c r="AA11" s="698"/>
      <c r="AB11" s="698"/>
      <c r="AC11" s="849"/>
    </row>
    <row r="12" spans="1:31" ht="69.75" customHeight="1" x14ac:dyDescent="0.25">
      <c r="A12" s="89" t="s">
        <v>27</v>
      </c>
      <c r="B12" s="124" t="s">
        <v>212</v>
      </c>
      <c r="C12" s="125" t="s">
        <v>213</v>
      </c>
      <c r="D12" s="124" t="s">
        <v>214</v>
      </c>
      <c r="E12" s="348" t="s">
        <v>427</v>
      </c>
      <c r="F12" s="95" t="s">
        <v>397</v>
      </c>
      <c r="G12" s="349" t="s">
        <v>398</v>
      </c>
      <c r="H12" s="372" t="s">
        <v>399</v>
      </c>
      <c r="I12" s="351" t="s">
        <v>219</v>
      </c>
      <c r="J12" s="118" t="s">
        <v>400</v>
      </c>
      <c r="K12" s="352" t="s">
        <v>401</v>
      </c>
      <c r="L12" s="94" t="s">
        <v>402</v>
      </c>
      <c r="M12" s="95" t="s">
        <v>403</v>
      </c>
      <c r="N12" s="373" t="s">
        <v>404</v>
      </c>
      <c r="O12" s="354" t="s">
        <v>405</v>
      </c>
      <c r="P12" s="355" t="s">
        <v>406</v>
      </c>
      <c r="Q12" s="356" t="s">
        <v>407</v>
      </c>
      <c r="R12" s="374" t="s">
        <v>408</v>
      </c>
      <c r="S12" s="375" t="s">
        <v>409</v>
      </c>
      <c r="T12" s="376" t="s">
        <v>410</v>
      </c>
      <c r="U12" s="377" t="s">
        <v>411</v>
      </c>
      <c r="V12" s="378" t="s">
        <v>412</v>
      </c>
      <c r="W12" s="379" t="s">
        <v>413</v>
      </c>
      <c r="X12" s="380" t="s">
        <v>414</v>
      </c>
      <c r="Y12" s="381" t="s">
        <v>415</v>
      </c>
      <c r="Z12" s="382" t="s">
        <v>416</v>
      </c>
      <c r="AA12" s="383" t="s">
        <v>417</v>
      </c>
      <c r="AB12" s="384" t="s">
        <v>418</v>
      </c>
      <c r="AC12" s="385"/>
    </row>
    <row r="13" spans="1:31" ht="49.5" customHeight="1" x14ac:dyDescent="0.25">
      <c r="A13" s="109">
        <f t="shared" ref="A13:A62" si="0">ROW(A1)</f>
        <v>1</v>
      </c>
      <c r="B13" s="386" t="e">
        <f>#REF!</f>
        <v>#REF!</v>
      </c>
      <c r="C13" s="387" t="e">
        <f>#REF!</f>
        <v>#REF!</v>
      </c>
      <c r="D13" s="388" t="e">
        <f>#REF!</f>
        <v>#REF!</v>
      </c>
      <c r="E13" s="389" t="s">
        <v>428</v>
      </c>
      <c r="F13" s="390" t="s">
        <v>12</v>
      </c>
      <c r="G13" s="388" t="e">
        <f>#REF!</f>
        <v>#REF!</v>
      </c>
      <c r="H13" s="87" t="s">
        <v>129</v>
      </c>
      <c r="I13" s="391" t="s">
        <v>12</v>
      </c>
      <c r="J13" s="390" t="s">
        <v>12</v>
      </c>
      <c r="K13" s="117" t="s">
        <v>129</v>
      </c>
      <c r="L13" s="94" t="s">
        <v>229</v>
      </c>
      <c r="M13" s="116" t="s">
        <v>12</v>
      </c>
      <c r="N13" s="392" t="s">
        <v>429</v>
      </c>
      <c r="O13" s="393" t="s">
        <v>12</v>
      </c>
      <c r="P13" s="88" t="s">
        <v>129</v>
      </c>
      <c r="Q13" s="394" t="s">
        <v>129</v>
      </c>
      <c r="R13" s="395" t="s">
        <v>129</v>
      </c>
      <c r="S13" s="396" t="s">
        <v>129</v>
      </c>
      <c r="T13" s="397" t="s">
        <v>129</v>
      </c>
      <c r="U13" s="396" t="s">
        <v>129</v>
      </c>
      <c r="V13" s="398">
        <v>44077</v>
      </c>
      <c r="W13" s="399" t="e">
        <f t="shared" ref="W13:W62" si="1">#REF!-D13</f>
        <v>#REF!</v>
      </c>
      <c r="X13" s="400" t="s">
        <v>129</v>
      </c>
      <c r="Y13" s="401" t="s">
        <v>129</v>
      </c>
      <c r="Z13" s="402" t="s">
        <v>129</v>
      </c>
      <c r="AA13" s="401" t="s">
        <v>129</v>
      </c>
      <c r="AB13" s="403">
        <v>44077</v>
      </c>
      <c r="AC13" s="404"/>
    </row>
    <row r="14" spans="1:31" ht="49.5" customHeight="1" x14ac:dyDescent="0.25">
      <c r="A14" s="109">
        <f t="shared" si="0"/>
        <v>2</v>
      </c>
      <c r="B14" s="386" t="e">
        <f>#REF!</f>
        <v>#REF!</v>
      </c>
      <c r="C14" s="387" t="e">
        <f>#REF!</f>
        <v>#REF!</v>
      </c>
      <c r="D14" s="388" t="e">
        <f>#REF!</f>
        <v>#REF!</v>
      </c>
      <c r="E14" s="389" t="s">
        <v>430</v>
      </c>
      <c r="F14" s="390" t="s">
        <v>12</v>
      </c>
      <c r="G14" s="388" t="e">
        <f>#REF!</f>
        <v>#REF!</v>
      </c>
      <c r="H14" s="87" t="s">
        <v>230</v>
      </c>
      <c r="I14" s="391" t="s">
        <v>12</v>
      </c>
      <c r="J14" s="390" t="s">
        <v>12</v>
      </c>
      <c r="K14" s="117" t="s">
        <v>230</v>
      </c>
      <c r="L14" s="94" t="s">
        <v>231</v>
      </c>
      <c r="M14" s="118" t="s">
        <v>12</v>
      </c>
      <c r="N14" s="392" t="s">
        <v>431</v>
      </c>
      <c r="O14" s="393" t="s">
        <v>12</v>
      </c>
      <c r="P14" s="88" t="s">
        <v>230</v>
      </c>
      <c r="Q14" s="394" t="s">
        <v>230</v>
      </c>
      <c r="R14" s="395" t="s">
        <v>230</v>
      </c>
      <c r="S14" s="396" t="s">
        <v>230</v>
      </c>
      <c r="T14" s="397" t="s">
        <v>230</v>
      </c>
      <c r="U14" s="396" t="s">
        <v>230</v>
      </c>
      <c r="V14" s="398">
        <v>44107</v>
      </c>
      <c r="W14" s="399" t="e">
        <f t="shared" si="1"/>
        <v>#REF!</v>
      </c>
      <c r="X14" s="400" t="s">
        <v>230</v>
      </c>
      <c r="Y14" s="401" t="s">
        <v>230</v>
      </c>
      <c r="Z14" s="402" t="s">
        <v>230</v>
      </c>
      <c r="AA14" s="401" t="s">
        <v>230</v>
      </c>
      <c r="AB14" s="403">
        <v>44107</v>
      </c>
      <c r="AC14" s="404"/>
    </row>
    <row r="15" spans="1:31" ht="49.5" customHeight="1" x14ac:dyDescent="0.25">
      <c r="A15" s="109">
        <f t="shared" si="0"/>
        <v>3</v>
      </c>
      <c r="B15" s="386" t="e">
        <f>#REF!</f>
        <v>#REF!</v>
      </c>
      <c r="C15" s="387" t="e">
        <f>#REF!</f>
        <v>#REF!</v>
      </c>
      <c r="D15" s="388" t="e">
        <f>#REF!</f>
        <v>#REF!</v>
      </c>
      <c r="E15" s="389" t="s">
        <v>432</v>
      </c>
      <c r="F15" s="390" t="s">
        <v>12</v>
      </c>
      <c r="G15" s="388" t="e">
        <f>#REF!</f>
        <v>#REF!</v>
      </c>
      <c r="H15" s="87" t="s">
        <v>129</v>
      </c>
      <c r="I15" s="391" t="s">
        <v>12</v>
      </c>
      <c r="J15" s="390" t="s">
        <v>12</v>
      </c>
      <c r="K15" s="117" t="s">
        <v>129</v>
      </c>
      <c r="L15" s="94" t="s">
        <v>232</v>
      </c>
      <c r="M15" s="118" t="s">
        <v>12</v>
      </c>
      <c r="N15" s="392" t="s">
        <v>433</v>
      </c>
      <c r="O15" s="393" t="s">
        <v>12</v>
      </c>
      <c r="P15" s="88" t="s">
        <v>129</v>
      </c>
      <c r="Q15" s="394" t="s">
        <v>129</v>
      </c>
      <c r="R15" s="395" t="s">
        <v>129</v>
      </c>
      <c r="S15" s="396" t="s">
        <v>129</v>
      </c>
      <c r="T15" s="397" t="s">
        <v>129</v>
      </c>
      <c r="U15" s="396" t="s">
        <v>129</v>
      </c>
      <c r="V15" s="398">
        <v>44137</v>
      </c>
      <c r="W15" s="399" t="e">
        <f t="shared" si="1"/>
        <v>#REF!</v>
      </c>
      <c r="X15" s="400" t="s">
        <v>129</v>
      </c>
      <c r="Y15" s="401" t="s">
        <v>129</v>
      </c>
      <c r="Z15" s="402" t="s">
        <v>129</v>
      </c>
      <c r="AA15" s="401" t="s">
        <v>129</v>
      </c>
      <c r="AB15" s="403">
        <v>44137</v>
      </c>
      <c r="AC15" s="404"/>
    </row>
    <row r="16" spans="1:31" ht="49.5" customHeight="1" x14ac:dyDescent="0.25">
      <c r="A16" s="109">
        <f t="shared" si="0"/>
        <v>4</v>
      </c>
      <c r="B16" s="386" t="e">
        <f>#REF!</f>
        <v>#REF!</v>
      </c>
      <c r="C16" s="387" t="e">
        <f>#REF!</f>
        <v>#REF!</v>
      </c>
      <c r="D16" s="388" t="e">
        <f>#REF!</f>
        <v>#REF!</v>
      </c>
      <c r="E16" s="389" t="s">
        <v>434</v>
      </c>
      <c r="F16" s="390" t="s">
        <v>12</v>
      </c>
      <c r="G16" s="388" t="e">
        <f>#REF!</f>
        <v>#REF!</v>
      </c>
      <c r="H16" s="87" t="s">
        <v>230</v>
      </c>
      <c r="I16" s="391" t="s">
        <v>12</v>
      </c>
      <c r="J16" s="390" t="s">
        <v>12</v>
      </c>
      <c r="K16" s="117" t="s">
        <v>230</v>
      </c>
      <c r="L16" s="94" t="s">
        <v>233</v>
      </c>
      <c r="M16" s="118" t="s">
        <v>12</v>
      </c>
      <c r="N16" s="392" t="s">
        <v>435</v>
      </c>
      <c r="O16" s="393" t="s">
        <v>12</v>
      </c>
      <c r="P16" s="88" t="s">
        <v>230</v>
      </c>
      <c r="Q16" s="394" t="s">
        <v>230</v>
      </c>
      <c r="R16" s="395" t="s">
        <v>230</v>
      </c>
      <c r="S16" s="396" t="s">
        <v>230</v>
      </c>
      <c r="T16" s="397" t="s">
        <v>230</v>
      </c>
      <c r="U16" s="396" t="s">
        <v>230</v>
      </c>
      <c r="V16" s="398">
        <v>44170</v>
      </c>
      <c r="W16" s="399" t="e">
        <f t="shared" si="1"/>
        <v>#REF!</v>
      </c>
      <c r="X16" s="400" t="s">
        <v>230</v>
      </c>
      <c r="Y16" s="401" t="s">
        <v>230</v>
      </c>
      <c r="Z16" s="402" t="s">
        <v>230</v>
      </c>
      <c r="AA16" s="401" t="s">
        <v>230</v>
      </c>
      <c r="AB16" s="403">
        <v>44170</v>
      </c>
      <c r="AC16" s="404"/>
    </row>
    <row r="17" spans="1:29" ht="49.5" customHeight="1" x14ac:dyDescent="0.25">
      <c r="A17" s="109">
        <f t="shared" si="0"/>
        <v>5</v>
      </c>
      <c r="B17" s="386" t="e">
        <f>#REF!</f>
        <v>#REF!</v>
      </c>
      <c r="C17" s="387" t="e">
        <f>#REF!</f>
        <v>#REF!</v>
      </c>
      <c r="D17" s="388" t="e">
        <f>#REF!</f>
        <v>#REF!</v>
      </c>
      <c r="E17" s="389" t="s">
        <v>436</v>
      </c>
      <c r="F17" s="390" t="s">
        <v>12</v>
      </c>
      <c r="G17" s="388" t="e">
        <f>#REF!</f>
        <v>#REF!</v>
      </c>
      <c r="H17" s="87" t="s">
        <v>129</v>
      </c>
      <c r="I17" s="391" t="s">
        <v>12</v>
      </c>
      <c r="J17" s="390" t="s">
        <v>12</v>
      </c>
      <c r="K17" s="117" t="s">
        <v>129</v>
      </c>
      <c r="L17" s="94" t="s">
        <v>234</v>
      </c>
      <c r="M17" s="118" t="s">
        <v>12</v>
      </c>
      <c r="N17" s="392" t="s">
        <v>437</v>
      </c>
      <c r="O17" s="393" t="s">
        <v>12</v>
      </c>
      <c r="P17" s="88" t="s">
        <v>129</v>
      </c>
      <c r="Q17" s="394" t="s">
        <v>129</v>
      </c>
      <c r="R17" s="395" t="s">
        <v>129</v>
      </c>
      <c r="S17" s="396" t="s">
        <v>129</v>
      </c>
      <c r="T17" s="397" t="s">
        <v>129</v>
      </c>
      <c r="U17" s="396" t="s">
        <v>129</v>
      </c>
      <c r="V17" s="398">
        <v>44201</v>
      </c>
      <c r="W17" s="399" t="e">
        <f t="shared" si="1"/>
        <v>#REF!</v>
      </c>
      <c r="X17" s="400" t="s">
        <v>129</v>
      </c>
      <c r="Y17" s="401" t="s">
        <v>129</v>
      </c>
      <c r="Z17" s="402" t="s">
        <v>129</v>
      </c>
      <c r="AA17" s="401" t="s">
        <v>129</v>
      </c>
      <c r="AB17" s="403">
        <v>44201</v>
      </c>
      <c r="AC17" s="404"/>
    </row>
    <row r="18" spans="1:29" ht="49.5" customHeight="1" x14ac:dyDescent="0.25">
      <c r="A18" s="109">
        <f t="shared" si="0"/>
        <v>6</v>
      </c>
      <c r="B18" s="386" t="e">
        <f>#REF!</f>
        <v>#REF!</v>
      </c>
      <c r="C18" s="387" t="e">
        <f>#REF!</f>
        <v>#REF!</v>
      </c>
      <c r="D18" s="388" t="e">
        <f>#REF!</f>
        <v>#REF!</v>
      </c>
      <c r="E18" s="389" t="s">
        <v>438</v>
      </c>
      <c r="F18" s="390" t="s">
        <v>12</v>
      </c>
      <c r="G18" s="388" t="e">
        <f>#REF!</f>
        <v>#REF!</v>
      </c>
      <c r="H18" s="87" t="s">
        <v>230</v>
      </c>
      <c r="I18" s="391" t="s">
        <v>12</v>
      </c>
      <c r="J18" s="390" t="s">
        <v>12</v>
      </c>
      <c r="K18" s="117" t="s">
        <v>230</v>
      </c>
      <c r="L18" s="94" t="s">
        <v>235</v>
      </c>
      <c r="M18" s="118" t="s">
        <v>12</v>
      </c>
      <c r="N18" s="392" t="s">
        <v>439</v>
      </c>
      <c r="O18" s="393" t="s">
        <v>12</v>
      </c>
      <c r="P18" s="88" t="s">
        <v>230</v>
      </c>
      <c r="Q18" s="394" t="s">
        <v>230</v>
      </c>
      <c r="R18" s="395" t="s">
        <v>230</v>
      </c>
      <c r="S18" s="396" t="s">
        <v>230</v>
      </c>
      <c r="T18" s="397" t="s">
        <v>230</v>
      </c>
      <c r="U18" s="396" t="s">
        <v>230</v>
      </c>
      <c r="V18" s="398">
        <v>44230</v>
      </c>
      <c r="W18" s="399" t="e">
        <f t="shared" si="1"/>
        <v>#REF!</v>
      </c>
      <c r="X18" s="400" t="s">
        <v>230</v>
      </c>
      <c r="Y18" s="401" t="s">
        <v>230</v>
      </c>
      <c r="Z18" s="402" t="s">
        <v>230</v>
      </c>
      <c r="AA18" s="401" t="s">
        <v>230</v>
      </c>
      <c r="AB18" s="403">
        <v>44230</v>
      </c>
      <c r="AC18" s="404"/>
    </row>
    <row r="19" spans="1:29" ht="49.5" customHeight="1" x14ac:dyDescent="0.25">
      <c r="A19" s="109">
        <f t="shared" si="0"/>
        <v>7</v>
      </c>
      <c r="B19" s="386" t="e">
        <f>#REF!</f>
        <v>#REF!</v>
      </c>
      <c r="C19" s="387" t="e">
        <f>#REF!</f>
        <v>#REF!</v>
      </c>
      <c r="D19" s="388" t="e">
        <f>#REF!</f>
        <v>#REF!</v>
      </c>
      <c r="E19" s="389" t="s">
        <v>346</v>
      </c>
      <c r="F19" s="390" t="s">
        <v>12</v>
      </c>
      <c r="G19" s="388" t="e">
        <f>#REF!</f>
        <v>#REF!</v>
      </c>
      <c r="H19" s="87" t="s">
        <v>129</v>
      </c>
      <c r="I19" s="391" t="s">
        <v>12</v>
      </c>
      <c r="J19" s="390" t="s">
        <v>12</v>
      </c>
      <c r="K19" s="117" t="s">
        <v>129</v>
      </c>
      <c r="L19" s="94" t="s">
        <v>236</v>
      </c>
      <c r="M19" s="118" t="s">
        <v>12</v>
      </c>
      <c r="N19" s="392" t="s">
        <v>440</v>
      </c>
      <c r="O19" s="393" t="s">
        <v>12</v>
      </c>
      <c r="P19" s="88" t="s">
        <v>129</v>
      </c>
      <c r="Q19" s="394" t="s">
        <v>129</v>
      </c>
      <c r="R19" s="395" t="s">
        <v>129</v>
      </c>
      <c r="S19" s="396" t="s">
        <v>129</v>
      </c>
      <c r="T19" s="397" t="s">
        <v>129</v>
      </c>
      <c r="U19" s="396" t="s">
        <v>129</v>
      </c>
      <c r="V19" s="398">
        <v>44259</v>
      </c>
      <c r="W19" s="399" t="e">
        <f t="shared" si="1"/>
        <v>#REF!</v>
      </c>
      <c r="X19" s="400" t="s">
        <v>129</v>
      </c>
      <c r="Y19" s="401" t="s">
        <v>129</v>
      </c>
      <c r="Z19" s="402" t="s">
        <v>129</v>
      </c>
      <c r="AA19" s="401" t="s">
        <v>129</v>
      </c>
      <c r="AB19" s="403">
        <v>44259</v>
      </c>
      <c r="AC19" s="404"/>
    </row>
    <row r="20" spans="1:29" ht="49.5" customHeight="1" x14ac:dyDescent="0.25">
      <c r="A20" s="109">
        <f t="shared" si="0"/>
        <v>8</v>
      </c>
      <c r="B20" s="386" t="e">
        <f>#REF!</f>
        <v>#REF!</v>
      </c>
      <c r="C20" s="387" t="e">
        <f>#REF!</f>
        <v>#REF!</v>
      </c>
      <c r="D20" s="388" t="e">
        <f>#REF!</f>
        <v>#REF!</v>
      </c>
      <c r="E20" s="389" t="s">
        <v>428</v>
      </c>
      <c r="F20" s="390" t="s">
        <v>12</v>
      </c>
      <c r="G20" s="388" t="e">
        <f>#REF!</f>
        <v>#REF!</v>
      </c>
      <c r="H20" s="87" t="s">
        <v>230</v>
      </c>
      <c r="I20" s="391" t="s">
        <v>12</v>
      </c>
      <c r="J20" s="390" t="s">
        <v>12</v>
      </c>
      <c r="K20" s="117" t="s">
        <v>230</v>
      </c>
      <c r="L20" s="94" t="s">
        <v>237</v>
      </c>
      <c r="M20" s="118" t="s">
        <v>12</v>
      </c>
      <c r="N20" s="392" t="s">
        <v>429</v>
      </c>
      <c r="O20" s="393" t="s">
        <v>12</v>
      </c>
      <c r="P20" s="88" t="s">
        <v>230</v>
      </c>
      <c r="Q20" s="394" t="s">
        <v>230</v>
      </c>
      <c r="R20" s="395" t="s">
        <v>230</v>
      </c>
      <c r="S20" s="396" t="s">
        <v>230</v>
      </c>
      <c r="T20" s="397" t="s">
        <v>230</v>
      </c>
      <c r="U20" s="396" t="s">
        <v>230</v>
      </c>
      <c r="V20" s="398">
        <v>44291</v>
      </c>
      <c r="W20" s="399" t="e">
        <f t="shared" si="1"/>
        <v>#REF!</v>
      </c>
      <c r="X20" s="400" t="s">
        <v>230</v>
      </c>
      <c r="Y20" s="401" t="s">
        <v>230</v>
      </c>
      <c r="Z20" s="402" t="s">
        <v>230</v>
      </c>
      <c r="AA20" s="401" t="s">
        <v>230</v>
      </c>
      <c r="AB20" s="403">
        <v>44291</v>
      </c>
      <c r="AC20" s="404"/>
    </row>
    <row r="21" spans="1:29" ht="49.5" customHeight="1" x14ac:dyDescent="0.25">
      <c r="A21" s="109">
        <f t="shared" si="0"/>
        <v>9</v>
      </c>
      <c r="B21" s="386" t="e">
        <f>#REF!</f>
        <v>#REF!</v>
      </c>
      <c r="C21" s="387" t="e">
        <f>#REF!</f>
        <v>#REF!</v>
      </c>
      <c r="D21" s="388" t="e">
        <f>#REF!</f>
        <v>#REF!</v>
      </c>
      <c r="E21" s="389" t="s">
        <v>430</v>
      </c>
      <c r="F21" s="390" t="s">
        <v>12</v>
      </c>
      <c r="G21" s="388" t="e">
        <f>#REF!</f>
        <v>#REF!</v>
      </c>
      <c r="H21" s="87" t="s">
        <v>129</v>
      </c>
      <c r="I21" s="391" t="s">
        <v>12</v>
      </c>
      <c r="J21" s="390" t="s">
        <v>12</v>
      </c>
      <c r="K21" s="117" t="s">
        <v>129</v>
      </c>
      <c r="L21" s="94" t="s">
        <v>238</v>
      </c>
      <c r="M21" s="118" t="s">
        <v>12</v>
      </c>
      <c r="N21" s="392" t="s">
        <v>431</v>
      </c>
      <c r="O21" s="393" t="s">
        <v>12</v>
      </c>
      <c r="P21" s="88" t="s">
        <v>129</v>
      </c>
      <c r="Q21" s="394" t="s">
        <v>129</v>
      </c>
      <c r="R21" s="395" t="s">
        <v>129</v>
      </c>
      <c r="S21" s="396" t="s">
        <v>129</v>
      </c>
      <c r="T21" s="397" t="s">
        <v>129</v>
      </c>
      <c r="U21" s="396" t="s">
        <v>129</v>
      </c>
      <c r="V21" s="398">
        <v>44319</v>
      </c>
      <c r="W21" s="399" t="e">
        <f t="shared" si="1"/>
        <v>#REF!</v>
      </c>
      <c r="X21" s="400" t="s">
        <v>129</v>
      </c>
      <c r="Y21" s="401" t="s">
        <v>129</v>
      </c>
      <c r="Z21" s="402" t="s">
        <v>129</v>
      </c>
      <c r="AA21" s="401" t="s">
        <v>129</v>
      </c>
      <c r="AB21" s="403">
        <v>44319</v>
      </c>
      <c r="AC21" s="404"/>
    </row>
    <row r="22" spans="1:29" ht="49.5" customHeight="1" x14ac:dyDescent="0.25">
      <c r="A22" s="109">
        <f t="shared" si="0"/>
        <v>10</v>
      </c>
      <c r="B22" s="386" t="e">
        <f>#REF!</f>
        <v>#REF!</v>
      </c>
      <c r="C22" s="387" t="e">
        <f>#REF!</f>
        <v>#REF!</v>
      </c>
      <c r="D22" s="388" t="e">
        <f>#REF!</f>
        <v>#REF!</v>
      </c>
      <c r="E22" s="389" t="s">
        <v>432</v>
      </c>
      <c r="F22" s="390" t="s">
        <v>12</v>
      </c>
      <c r="G22" s="388" t="e">
        <f>#REF!</f>
        <v>#REF!</v>
      </c>
      <c r="H22" s="87" t="s">
        <v>230</v>
      </c>
      <c r="I22" s="391" t="s">
        <v>12</v>
      </c>
      <c r="J22" s="390" t="s">
        <v>12</v>
      </c>
      <c r="K22" s="117" t="s">
        <v>230</v>
      </c>
      <c r="L22" s="94" t="s">
        <v>229</v>
      </c>
      <c r="M22" s="118" t="s">
        <v>12</v>
      </c>
      <c r="N22" s="392" t="s">
        <v>433</v>
      </c>
      <c r="O22" s="393" t="s">
        <v>12</v>
      </c>
      <c r="P22" s="88" t="s">
        <v>230</v>
      </c>
      <c r="Q22" s="394" t="s">
        <v>230</v>
      </c>
      <c r="R22" s="395" t="s">
        <v>230</v>
      </c>
      <c r="S22" s="396" t="s">
        <v>230</v>
      </c>
      <c r="T22" s="397" t="s">
        <v>230</v>
      </c>
      <c r="U22" s="396" t="s">
        <v>230</v>
      </c>
      <c r="V22" s="398">
        <v>44351</v>
      </c>
      <c r="W22" s="399" t="e">
        <f t="shared" si="1"/>
        <v>#REF!</v>
      </c>
      <c r="X22" s="400" t="s">
        <v>230</v>
      </c>
      <c r="Y22" s="401" t="s">
        <v>230</v>
      </c>
      <c r="Z22" s="402" t="s">
        <v>230</v>
      </c>
      <c r="AA22" s="401" t="s">
        <v>230</v>
      </c>
      <c r="AB22" s="403">
        <v>44351</v>
      </c>
      <c r="AC22" s="404"/>
    </row>
    <row r="23" spans="1:29" ht="49.5" customHeight="1" x14ac:dyDescent="0.25">
      <c r="A23" s="109">
        <f t="shared" si="0"/>
        <v>11</v>
      </c>
      <c r="B23" s="386" t="e">
        <f>#REF!</f>
        <v>#REF!</v>
      </c>
      <c r="C23" s="387" t="e">
        <f>#REF!</f>
        <v>#REF!</v>
      </c>
      <c r="D23" s="388" t="e">
        <f>#REF!</f>
        <v>#REF!</v>
      </c>
      <c r="E23" s="389" t="s">
        <v>434</v>
      </c>
      <c r="F23" s="390" t="s">
        <v>12</v>
      </c>
      <c r="G23" s="388" t="e">
        <f>#REF!</f>
        <v>#REF!</v>
      </c>
      <c r="H23" s="87" t="s">
        <v>129</v>
      </c>
      <c r="I23" s="391" t="s">
        <v>12</v>
      </c>
      <c r="J23" s="390" t="s">
        <v>12</v>
      </c>
      <c r="K23" s="117" t="s">
        <v>129</v>
      </c>
      <c r="L23" s="94" t="s">
        <v>229</v>
      </c>
      <c r="M23" s="118" t="s">
        <v>12</v>
      </c>
      <c r="N23" s="392" t="s">
        <v>429</v>
      </c>
      <c r="O23" s="393" t="s">
        <v>12</v>
      </c>
      <c r="P23" s="88" t="s">
        <v>129</v>
      </c>
      <c r="Q23" s="394" t="s">
        <v>129</v>
      </c>
      <c r="R23" s="395" t="s">
        <v>129</v>
      </c>
      <c r="S23" s="396" t="s">
        <v>129</v>
      </c>
      <c r="T23" s="397" t="s">
        <v>129</v>
      </c>
      <c r="U23" s="396" t="s">
        <v>129</v>
      </c>
      <c r="V23" s="398">
        <v>44379</v>
      </c>
      <c r="W23" s="399" t="e">
        <f t="shared" si="1"/>
        <v>#REF!</v>
      </c>
      <c r="X23" s="400" t="s">
        <v>129</v>
      </c>
      <c r="Y23" s="401" t="s">
        <v>129</v>
      </c>
      <c r="Z23" s="402" t="s">
        <v>129</v>
      </c>
      <c r="AA23" s="401" t="s">
        <v>129</v>
      </c>
      <c r="AB23" s="403">
        <v>44379</v>
      </c>
      <c r="AC23" s="404"/>
    </row>
    <row r="24" spans="1:29" ht="49.5" customHeight="1" x14ac:dyDescent="0.25">
      <c r="A24" s="109">
        <f t="shared" si="0"/>
        <v>12</v>
      </c>
      <c r="B24" s="386" t="e">
        <f>#REF!</f>
        <v>#REF!</v>
      </c>
      <c r="C24" s="387" t="e">
        <f>#REF!</f>
        <v>#REF!</v>
      </c>
      <c r="D24" s="388" t="e">
        <f>#REF!</f>
        <v>#REF!</v>
      </c>
      <c r="E24" s="389" t="s">
        <v>436</v>
      </c>
      <c r="F24" s="390" t="s">
        <v>12</v>
      </c>
      <c r="G24" s="388" t="e">
        <f>#REF!</f>
        <v>#REF!</v>
      </c>
      <c r="H24" s="87" t="s">
        <v>230</v>
      </c>
      <c r="I24" s="391" t="s">
        <v>12</v>
      </c>
      <c r="J24" s="390" t="s">
        <v>12</v>
      </c>
      <c r="K24" s="117" t="s">
        <v>230</v>
      </c>
      <c r="L24" s="94" t="s">
        <v>231</v>
      </c>
      <c r="M24" s="118" t="s">
        <v>12</v>
      </c>
      <c r="N24" s="392" t="s">
        <v>431</v>
      </c>
      <c r="O24" s="393" t="s">
        <v>12</v>
      </c>
      <c r="P24" s="88" t="s">
        <v>230</v>
      </c>
      <c r="Q24" s="394" t="s">
        <v>230</v>
      </c>
      <c r="R24" s="395" t="s">
        <v>230</v>
      </c>
      <c r="S24" s="396" t="s">
        <v>230</v>
      </c>
      <c r="T24" s="397" t="s">
        <v>230</v>
      </c>
      <c r="U24" s="396" t="s">
        <v>230</v>
      </c>
      <c r="V24" s="398">
        <v>44412</v>
      </c>
      <c r="W24" s="399" t="e">
        <f t="shared" si="1"/>
        <v>#REF!</v>
      </c>
      <c r="X24" s="400" t="s">
        <v>230</v>
      </c>
      <c r="Y24" s="401" t="s">
        <v>230</v>
      </c>
      <c r="Z24" s="402" t="s">
        <v>230</v>
      </c>
      <c r="AA24" s="401" t="s">
        <v>230</v>
      </c>
      <c r="AB24" s="403">
        <v>44412</v>
      </c>
      <c r="AC24" s="404"/>
    </row>
    <row r="25" spans="1:29" ht="49.5" customHeight="1" x14ac:dyDescent="0.25">
      <c r="A25" s="109">
        <f t="shared" si="0"/>
        <v>13</v>
      </c>
      <c r="B25" s="386" t="e">
        <f>#REF!</f>
        <v>#REF!</v>
      </c>
      <c r="C25" s="387" t="e">
        <f>#REF!</f>
        <v>#REF!</v>
      </c>
      <c r="D25" s="388" t="e">
        <f>#REF!</f>
        <v>#REF!</v>
      </c>
      <c r="E25" s="389" t="s">
        <v>438</v>
      </c>
      <c r="F25" s="390" t="s">
        <v>12</v>
      </c>
      <c r="G25" s="388" t="e">
        <f>#REF!</f>
        <v>#REF!</v>
      </c>
      <c r="H25" s="87" t="s">
        <v>129</v>
      </c>
      <c r="I25" s="391" t="s">
        <v>12</v>
      </c>
      <c r="J25" s="390" t="s">
        <v>12</v>
      </c>
      <c r="K25" s="117" t="s">
        <v>129</v>
      </c>
      <c r="L25" s="94" t="s">
        <v>232</v>
      </c>
      <c r="M25" s="118" t="s">
        <v>12</v>
      </c>
      <c r="N25" s="392" t="s">
        <v>433</v>
      </c>
      <c r="O25" s="393" t="s">
        <v>12</v>
      </c>
      <c r="P25" s="88" t="s">
        <v>129</v>
      </c>
      <c r="Q25" s="394" t="s">
        <v>129</v>
      </c>
      <c r="R25" s="395" t="s">
        <v>129</v>
      </c>
      <c r="S25" s="396" t="s">
        <v>129</v>
      </c>
      <c r="T25" s="397" t="s">
        <v>129</v>
      </c>
      <c r="U25" s="396" t="s">
        <v>129</v>
      </c>
      <c r="V25" s="398">
        <v>44077</v>
      </c>
      <c r="W25" s="399" t="e">
        <f t="shared" si="1"/>
        <v>#REF!</v>
      </c>
      <c r="X25" s="400" t="s">
        <v>129</v>
      </c>
      <c r="Y25" s="401" t="s">
        <v>129</v>
      </c>
      <c r="Z25" s="402" t="s">
        <v>129</v>
      </c>
      <c r="AA25" s="401" t="s">
        <v>129</v>
      </c>
      <c r="AB25" s="403">
        <v>44077</v>
      </c>
      <c r="AC25" s="404"/>
    </row>
    <row r="26" spans="1:29" ht="49.5" customHeight="1" x14ac:dyDescent="0.25">
      <c r="A26" s="109">
        <f t="shared" si="0"/>
        <v>14</v>
      </c>
      <c r="B26" s="386" t="e">
        <f>#REF!</f>
        <v>#REF!</v>
      </c>
      <c r="C26" s="387" t="e">
        <f>#REF!</f>
        <v>#REF!</v>
      </c>
      <c r="D26" s="388" t="e">
        <f>#REF!</f>
        <v>#REF!</v>
      </c>
      <c r="E26" s="389" t="s">
        <v>346</v>
      </c>
      <c r="F26" s="390" t="s">
        <v>12</v>
      </c>
      <c r="G26" s="388" t="e">
        <f>#REF!</f>
        <v>#REF!</v>
      </c>
      <c r="H26" s="87" t="s">
        <v>230</v>
      </c>
      <c r="I26" s="391" t="s">
        <v>12</v>
      </c>
      <c r="J26" s="390" t="s">
        <v>12</v>
      </c>
      <c r="K26" s="117" t="s">
        <v>230</v>
      </c>
      <c r="L26" s="94" t="s">
        <v>233</v>
      </c>
      <c r="M26" s="118" t="s">
        <v>12</v>
      </c>
      <c r="N26" s="392" t="s">
        <v>435</v>
      </c>
      <c r="O26" s="393" t="s">
        <v>12</v>
      </c>
      <c r="P26" s="88" t="s">
        <v>230</v>
      </c>
      <c r="Q26" s="394" t="s">
        <v>230</v>
      </c>
      <c r="R26" s="395" t="s">
        <v>230</v>
      </c>
      <c r="S26" s="396" t="s">
        <v>230</v>
      </c>
      <c r="T26" s="397" t="s">
        <v>230</v>
      </c>
      <c r="U26" s="396" t="s">
        <v>230</v>
      </c>
      <c r="V26" s="398">
        <v>44077</v>
      </c>
      <c r="W26" s="399" t="e">
        <f t="shared" si="1"/>
        <v>#REF!</v>
      </c>
      <c r="X26" s="400" t="s">
        <v>230</v>
      </c>
      <c r="Y26" s="401" t="s">
        <v>230</v>
      </c>
      <c r="Z26" s="402" t="s">
        <v>230</v>
      </c>
      <c r="AA26" s="401" t="s">
        <v>230</v>
      </c>
      <c r="AB26" s="403">
        <v>44077</v>
      </c>
      <c r="AC26" s="404"/>
    </row>
    <row r="27" spans="1:29" ht="49.5" customHeight="1" x14ac:dyDescent="0.25">
      <c r="A27" s="109">
        <f t="shared" si="0"/>
        <v>15</v>
      </c>
      <c r="B27" s="386" t="e">
        <f>#REF!</f>
        <v>#REF!</v>
      </c>
      <c r="C27" s="387" t="e">
        <f>#REF!</f>
        <v>#REF!</v>
      </c>
      <c r="D27" s="388" t="e">
        <f>#REF!</f>
        <v>#REF!</v>
      </c>
      <c r="E27" s="389" t="s">
        <v>428</v>
      </c>
      <c r="F27" s="390" t="s">
        <v>12</v>
      </c>
      <c r="G27" s="388" t="e">
        <f>#REF!</f>
        <v>#REF!</v>
      </c>
      <c r="H27" s="87" t="s">
        <v>129</v>
      </c>
      <c r="I27" s="391" t="s">
        <v>12</v>
      </c>
      <c r="J27" s="390" t="s">
        <v>12</v>
      </c>
      <c r="K27" s="117" t="s">
        <v>129</v>
      </c>
      <c r="L27" s="94" t="s">
        <v>234</v>
      </c>
      <c r="M27" s="118" t="s">
        <v>12</v>
      </c>
      <c r="N27" s="392" t="s">
        <v>437</v>
      </c>
      <c r="O27" s="393" t="s">
        <v>12</v>
      </c>
      <c r="P27" s="88" t="s">
        <v>129</v>
      </c>
      <c r="Q27" s="394" t="s">
        <v>129</v>
      </c>
      <c r="R27" s="395" t="s">
        <v>129</v>
      </c>
      <c r="S27" s="396" t="s">
        <v>129</v>
      </c>
      <c r="T27" s="397" t="s">
        <v>129</v>
      </c>
      <c r="U27" s="396" t="s">
        <v>129</v>
      </c>
      <c r="V27" s="398">
        <v>44137</v>
      </c>
      <c r="W27" s="399" t="e">
        <f t="shared" si="1"/>
        <v>#REF!</v>
      </c>
      <c r="X27" s="400" t="s">
        <v>129</v>
      </c>
      <c r="Y27" s="401" t="s">
        <v>129</v>
      </c>
      <c r="Z27" s="402" t="s">
        <v>129</v>
      </c>
      <c r="AA27" s="401" t="s">
        <v>129</v>
      </c>
      <c r="AB27" s="403">
        <v>44137</v>
      </c>
      <c r="AC27" s="404"/>
    </row>
    <row r="28" spans="1:29" ht="49.5" customHeight="1" x14ac:dyDescent="0.25">
      <c r="A28" s="109">
        <f t="shared" si="0"/>
        <v>16</v>
      </c>
      <c r="B28" s="386" t="e">
        <f>#REF!</f>
        <v>#REF!</v>
      </c>
      <c r="C28" s="387" t="e">
        <f>#REF!</f>
        <v>#REF!</v>
      </c>
      <c r="D28" s="388" t="e">
        <f>#REF!</f>
        <v>#REF!</v>
      </c>
      <c r="E28" s="389" t="s">
        <v>430</v>
      </c>
      <c r="F28" s="390" t="s">
        <v>12</v>
      </c>
      <c r="G28" s="388" t="e">
        <f>#REF!</f>
        <v>#REF!</v>
      </c>
      <c r="H28" s="87" t="s">
        <v>230</v>
      </c>
      <c r="I28" s="391" t="s">
        <v>12</v>
      </c>
      <c r="J28" s="390" t="s">
        <v>12</v>
      </c>
      <c r="K28" s="117" t="s">
        <v>230</v>
      </c>
      <c r="L28" s="94" t="s">
        <v>235</v>
      </c>
      <c r="M28" s="118" t="s">
        <v>12</v>
      </c>
      <c r="N28" s="392" t="s">
        <v>439</v>
      </c>
      <c r="O28" s="393" t="s">
        <v>12</v>
      </c>
      <c r="P28" s="88" t="s">
        <v>230</v>
      </c>
      <c r="Q28" s="394" t="s">
        <v>230</v>
      </c>
      <c r="R28" s="395" t="s">
        <v>230</v>
      </c>
      <c r="S28" s="396" t="s">
        <v>230</v>
      </c>
      <c r="T28" s="397" t="s">
        <v>230</v>
      </c>
      <c r="U28" s="396" t="s">
        <v>230</v>
      </c>
      <c r="V28" s="398">
        <v>44170</v>
      </c>
      <c r="W28" s="399" t="e">
        <f t="shared" si="1"/>
        <v>#REF!</v>
      </c>
      <c r="X28" s="400" t="s">
        <v>230</v>
      </c>
      <c r="Y28" s="401" t="s">
        <v>230</v>
      </c>
      <c r="Z28" s="402" t="s">
        <v>230</v>
      </c>
      <c r="AA28" s="401" t="s">
        <v>230</v>
      </c>
      <c r="AB28" s="403">
        <v>44170</v>
      </c>
      <c r="AC28" s="404"/>
    </row>
    <row r="29" spans="1:29" ht="49.5" customHeight="1" x14ac:dyDescent="0.25">
      <c r="A29" s="109">
        <f t="shared" si="0"/>
        <v>17</v>
      </c>
      <c r="B29" s="386" t="e">
        <f>#REF!</f>
        <v>#REF!</v>
      </c>
      <c r="C29" s="387" t="e">
        <f>#REF!</f>
        <v>#REF!</v>
      </c>
      <c r="D29" s="388" t="e">
        <f>#REF!</f>
        <v>#REF!</v>
      </c>
      <c r="E29" s="389" t="s">
        <v>432</v>
      </c>
      <c r="F29" s="390" t="s">
        <v>12</v>
      </c>
      <c r="G29" s="388" t="e">
        <f>#REF!</f>
        <v>#REF!</v>
      </c>
      <c r="H29" s="87" t="s">
        <v>129</v>
      </c>
      <c r="I29" s="391" t="s">
        <v>12</v>
      </c>
      <c r="J29" s="390" t="s">
        <v>12</v>
      </c>
      <c r="K29" s="117" t="s">
        <v>129</v>
      </c>
      <c r="L29" s="94" t="s">
        <v>236</v>
      </c>
      <c r="M29" s="118" t="s">
        <v>12</v>
      </c>
      <c r="N29" s="392" t="s">
        <v>440</v>
      </c>
      <c r="O29" s="393" t="s">
        <v>12</v>
      </c>
      <c r="P29" s="88" t="s">
        <v>129</v>
      </c>
      <c r="Q29" s="394" t="s">
        <v>129</v>
      </c>
      <c r="R29" s="395" t="s">
        <v>129</v>
      </c>
      <c r="S29" s="396" t="s">
        <v>129</v>
      </c>
      <c r="T29" s="397" t="s">
        <v>129</v>
      </c>
      <c r="U29" s="396" t="s">
        <v>129</v>
      </c>
      <c r="V29" s="398">
        <v>44201</v>
      </c>
      <c r="W29" s="399" t="e">
        <f t="shared" si="1"/>
        <v>#REF!</v>
      </c>
      <c r="X29" s="400" t="s">
        <v>129</v>
      </c>
      <c r="Y29" s="401" t="s">
        <v>129</v>
      </c>
      <c r="Z29" s="402" t="s">
        <v>129</v>
      </c>
      <c r="AA29" s="401" t="s">
        <v>129</v>
      </c>
      <c r="AB29" s="403">
        <v>44201</v>
      </c>
      <c r="AC29" s="404"/>
    </row>
    <row r="30" spans="1:29" ht="49.5" customHeight="1" x14ac:dyDescent="0.25">
      <c r="A30" s="109">
        <f t="shared" si="0"/>
        <v>18</v>
      </c>
      <c r="B30" s="386" t="e">
        <f>#REF!</f>
        <v>#REF!</v>
      </c>
      <c r="C30" s="387" t="e">
        <f>#REF!</f>
        <v>#REF!</v>
      </c>
      <c r="D30" s="388" t="e">
        <f>#REF!</f>
        <v>#REF!</v>
      </c>
      <c r="E30" s="389" t="s">
        <v>434</v>
      </c>
      <c r="F30" s="390" t="s">
        <v>12</v>
      </c>
      <c r="G30" s="388" t="e">
        <f>#REF!</f>
        <v>#REF!</v>
      </c>
      <c r="H30" s="87" t="s">
        <v>230</v>
      </c>
      <c r="I30" s="391" t="s">
        <v>12</v>
      </c>
      <c r="J30" s="390" t="s">
        <v>12</v>
      </c>
      <c r="K30" s="117" t="s">
        <v>230</v>
      </c>
      <c r="L30" s="94" t="s">
        <v>237</v>
      </c>
      <c r="M30" s="118" t="s">
        <v>12</v>
      </c>
      <c r="N30" s="392" t="s">
        <v>429</v>
      </c>
      <c r="O30" s="393" t="s">
        <v>12</v>
      </c>
      <c r="P30" s="88" t="s">
        <v>230</v>
      </c>
      <c r="Q30" s="394" t="s">
        <v>230</v>
      </c>
      <c r="R30" s="395" t="s">
        <v>230</v>
      </c>
      <c r="S30" s="396" t="s">
        <v>230</v>
      </c>
      <c r="T30" s="397" t="s">
        <v>230</v>
      </c>
      <c r="U30" s="396" t="s">
        <v>230</v>
      </c>
      <c r="V30" s="398">
        <v>44230</v>
      </c>
      <c r="W30" s="399" t="e">
        <f t="shared" si="1"/>
        <v>#REF!</v>
      </c>
      <c r="X30" s="400" t="s">
        <v>230</v>
      </c>
      <c r="Y30" s="401" t="s">
        <v>230</v>
      </c>
      <c r="Z30" s="402" t="s">
        <v>230</v>
      </c>
      <c r="AA30" s="401" t="s">
        <v>230</v>
      </c>
      <c r="AB30" s="403">
        <v>44230</v>
      </c>
      <c r="AC30" s="404"/>
    </row>
    <row r="31" spans="1:29" ht="49.5" customHeight="1" x14ac:dyDescent="0.25">
      <c r="A31" s="109">
        <f t="shared" si="0"/>
        <v>19</v>
      </c>
      <c r="B31" s="386" t="e">
        <f>#REF!</f>
        <v>#REF!</v>
      </c>
      <c r="C31" s="387" t="e">
        <f>#REF!</f>
        <v>#REF!</v>
      </c>
      <c r="D31" s="388" t="e">
        <f>#REF!</f>
        <v>#REF!</v>
      </c>
      <c r="E31" s="389" t="s">
        <v>436</v>
      </c>
      <c r="F31" s="390" t="s">
        <v>12</v>
      </c>
      <c r="G31" s="388" t="e">
        <f>#REF!</f>
        <v>#REF!</v>
      </c>
      <c r="H31" s="87" t="s">
        <v>129</v>
      </c>
      <c r="I31" s="391" t="s">
        <v>12</v>
      </c>
      <c r="J31" s="390" t="s">
        <v>12</v>
      </c>
      <c r="K31" s="117" t="s">
        <v>129</v>
      </c>
      <c r="L31" s="94" t="s">
        <v>238</v>
      </c>
      <c r="M31" s="118" t="s">
        <v>12</v>
      </c>
      <c r="N31" s="392" t="s">
        <v>431</v>
      </c>
      <c r="O31" s="393" t="s">
        <v>12</v>
      </c>
      <c r="P31" s="88" t="s">
        <v>129</v>
      </c>
      <c r="Q31" s="394" t="s">
        <v>129</v>
      </c>
      <c r="R31" s="395" t="s">
        <v>129</v>
      </c>
      <c r="S31" s="396" t="s">
        <v>129</v>
      </c>
      <c r="T31" s="397" t="s">
        <v>129</v>
      </c>
      <c r="U31" s="396" t="s">
        <v>129</v>
      </c>
      <c r="V31" s="398">
        <v>44259</v>
      </c>
      <c r="W31" s="399" t="e">
        <f t="shared" si="1"/>
        <v>#REF!</v>
      </c>
      <c r="X31" s="400" t="s">
        <v>129</v>
      </c>
      <c r="Y31" s="401" t="s">
        <v>129</v>
      </c>
      <c r="Z31" s="402" t="s">
        <v>129</v>
      </c>
      <c r="AA31" s="401" t="s">
        <v>129</v>
      </c>
      <c r="AB31" s="403">
        <v>44259</v>
      </c>
      <c r="AC31" s="404"/>
    </row>
    <row r="32" spans="1:29" ht="49.5" customHeight="1" x14ac:dyDescent="0.25">
      <c r="A32" s="109">
        <f t="shared" si="0"/>
        <v>20</v>
      </c>
      <c r="B32" s="386" t="e">
        <f>#REF!</f>
        <v>#REF!</v>
      </c>
      <c r="C32" s="387" t="e">
        <f>#REF!</f>
        <v>#REF!</v>
      </c>
      <c r="D32" s="388" t="e">
        <f>#REF!</f>
        <v>#REF!</v>
      </c>
      <c r="E32" s="389" t="s">
        <v>438</v>
      </c>
      <c r="F32" s="390" t="s">
        <v>12</v>
      </c>
      <c r="G32" s="388" t="e">
        <f>#REF!</f>
        <v>#REF!</v>
      </c>
      <c r="H32" s="87" t="s">
        <v>230</v>
      </c>
      <c r="I32" s="391" t="s">
        <v>12</v>
      </c>
      <c r="J32" s="390" t="s">
        <v>12</v>
      </c>
      <c r="K32" s="117" t="s">
        <v>230</v>
      </c>
      <c r="L32" s="94" t="s">
        <v>229</v>
      </c>
      <c r="M32" s="118" t="s">
        <v>12</v>
      </c>
      <c r="N32" s="392" t="s">
        <v>433</v>
      </c>
      <c r="O32" s="393" t="s">
        <v>12</v>
      </c>
      <c r="P32" s="88" t="s">
        <v>230</v>
      </c>
      <c r="Q32" s="394" t="s">
        <v>230</v>
      </c>
      <c r="R32" s="395" t="s">
        <v>230</v>
      </c>
      <c r="S32" s="396" t="s">
        <v>230</v>
      </c>
      <c r="T32" s="397" t="s">
        <v>230</v>
      </c>
      <c r="U32" s="396" t="s">
        <v>230</v>
      </c>
      <c r="V32" s="398">
        <v>44291</v>
      </c>
      <c r="W32" s="399" t="e">
        <f t="shared" si="1"/>
        <v>#REF!</v>
      </c>
      <c r="X32" s="400" t="s">
        <v>230</v>
      </c>
      <c r="Y32" s="401" t="s">
        <v>230</v>
      </c>
      <c r="Z32" s="402" t="s">
        <v>230</v>
      </c>
      <c r="AA32" s="401" t="s">
        <v>230</v>
      </c>
      <c r="AB32" s="403">
        <v>44291</v>
      </c>
      <c r="AC32" s="404"/>
    </row>
    <row r="33" spans="1:29" ht="49.5" customHeight="1" x14ac:dyDescent="0.25">
      <c r="A33" s="109">
        <f t="shared" si="0"/>
        <v>21</v>
      </c>
      <c r="B33" s="386" t="e">
        <f>#REF!</f>
        <v>#REF!</v>
      </c>
      <c r="C33" s="387" t="e">
        <f>#REF!</f>
        <v>#REF!</v>
      </c>
      <c r="D33" s="388" t="e">
        <f>#REF!</f>
        <v>#REF!</v>
      </c>
      <c r="E33" s="389" t="s">
        <v>346</v>
      </c>
      <c r="F33" s="390" t="s">
        <v>12</v>
      </c>
      <c r="G33" s="388" t="e">
        <f>#REF!</f>
        <v>#REF!</v>
      </c>
      <c r="H33" s="87" t="s">
        <v>129</v>
      </c>
      <c r="I33" s="391" t="s">
        <v>12</v>
      </c>
      <c r="J33" s="390" t="s">
        <v>12</v>
      </c>
      <c r="K33" s="117" t="s">
        <v>129</v>
      </c>
      <c r="L33" s="94" t="s">
        <v>229</v>
      </c>
      <c r="M33" s="118" t="s">
        <v>12</v>
      </c>
      <c r="N33" s="392" t="s">
        <v>429</v>
      </c>
      <c r="O33" s="393" t="s">
        <v>12</v>
      </c>
      <c r="P33" s="88" t="s">
        <v>129</v>
      </c>
      <c r="Q33" s="394" t="s">
        <v>129</v>
      </c>
      <c r="R33" s="395" t="s">
        <v>129</v>
      </c>
      <c r="S33" s="396" t="s">
        <v>129</v>
      </c>
      <c r="T33" s="397" t="s">
        <v>129</v>
      </c>
      <c r="U33" s="396" t="s">
        <v>129</v>
      </c>
      <c r="V33" s="398">
        <v>44319</v>
      </c>
      <c r="W33" s="399" t="e">
        <f t="shared" si="1"/>
        <v>#REF!</v>
      </c>
      <c r="X33" s="400" t="s">
        <v>129</v>
      </c>
      <c r="Y33" s="401" t="s">
        <v>129</v>
      </c>
      <c r="Z33" s="402" t="s">
        <v>129</v>
      </c>
      <c r="AA33" s="401" t="s">
        <v>129</v>
      </c>
      <c r="AB33" s="403">
        <v>44319</v>
      </c>
      <c r="AC33" s="404"/>
    </row>
    <row r="34" spans="1:29" ht="49.5" customHeight="1" x14ac:dyDescent="0.25">
      <c r="A34" s="109">
        <f t="shared" si="0"/>
        <v>22</v>
      </c>
      <c r="B34" s="386" t="e">
        <f>#REF!</f>
        <v>#REF!</v>
      </c>
      <c r="C34" s="387" t="e">
        <f>#REF!</f>
        <v>#REF!</v>
      </c>
      <c r="D34" s="388" t="e">
        <f>#REF!</f>
        <v>#REF!</v>
      </c>
      <c r="E34" s="389" t="s">
        <v>428</v>
      </c>
      <c r="F34" s="390" t="s">
        <v>12</v>
      </c>
      <c r="G34" s="388" t="e">
        <f>#REF!</f>
        <v>#REF!</v>
      </c>
      <c r="H34" s="87" t="s">
        <v>230</v>
      </c>
      <c r="I34" s="391" t="s">
        <v>12</v>
      </c>
      <c r="J34" s="390" t="s">
        <v>12</v>
      </c>
      <c r="K34" s="117" t="s">
        <v>230</v>
      </c>
      <c r="L34" s="94" t="s">
        <v>231</v>
      </c>
      <c r="M34" s="118" t="s">
        <v>12</v>
      </c>
      <c r="N34" s="392" t="s">
        <v>431</v>
      </c>
      <c r="O34" s="393" t="s">
        <v>12</v>
      </c>
      <c r="P34" s="88" t="s">
        <v>230</v>
      </c>
      <c r="Q34" s="394" t="s">
        <v>230</v>
      </c>
      <c r="R34" s="395" t="s">
        <v>230</v>
      </c>
      <c r="S34" s="396" t="s">
        <v>230</v>
      </c>
      <c r="T34" s="397" t="s">
        <v>230</v>
      </c>
      <c r="U34" s="396" t="s">
        <v>230</v>
      </c>
      <c r="V34" s="398">
        <v>44351</v>
      </c>
      <c r="W34" s="399" t="e">
        <f t="shared" si="1"/>
        <v>#REF!</v>
      </c>
      <c r="X34" s="400" t="s">
        <v>230</v>
      </c>
      <c r="Y34" s="401" t="s">
        <v>230</v>
      </c>
      <c r="Z34" s="402" t="s">
        <v>230</v>
      </c>
      <c r="AA34" s="401" t="s">
        <v>230</v>
      </c>
      <c r="AB34" s="403">
        <v>44351</v>
      </c>
      <c r="AC34" s="404"/>
    </row>
    <row r="35" spans="1:29" ht="49.5" customHeight="1" x14ac:dyDescent="0.25">
      <c r="A35" s="109">
        <f t="shared" si="0"/>
        <v>23</v>
      </c>
      <c r="B35" s="386" t="e">
        <f>#REF!</f>
        <v>#REF!</v>
      </c>
      <c r="C35" s="387" t="e">
        <f>#REF!</f>
        <v>#REF!</v>
      </c>
      <c r="D35" s="388" t="e">
        <f>#REF!</f>
        <v>#REF!</v>
      </c>
      <c r="E35" s="389" t="s">
        <v>430</v>
      </c>
      <c r="F35" s="390" t="s">
        <v>12</v>
      </c>
      <c r="G35" s="388" t="e">
        <f>#REF!</f>
        <v>#REF!</v>
      </c>
      <c r="H35" s="87" t="s">
        <v>129</v>
      </c>
      <c r="I35" s="391" t="s">
        <v>12</v>
      </c>
      <c r="J35" s="390" t="s">
        <v>12</v>
      </c>
      <c r="K35" s="117" t="s">
        <v>129</v>
      </c>
      <c r="L35" s="94" t="s">
        <v>232</v>
      </c>
      <c r="M35" s="118" t="s">
        <v>12</v>
      </c>
      <c r="N35" s="392" t="s">
        <v>433</v>
      </c>
      <c r="O35" s="393" t="s">
        <v>12</v>
      </c>
      <c r="P35" s="88" t="s">
        <v>129</v>
      </c>
      <c r="Q35" s="394" t="s">
        <v>129</v>
      </c>
      <c r="R35" s="395" t="s">
        <v>129</v>
      </c>
      <c r="S35" s="396" t="s">
        <v>129</v>
      </c>
      <c r="T35" s="397" t="s">
        <v>129</v>
      </c>
      <c r="U35" s="396" t="s">
        <v>129</v>
      </c>
      <c r="V35" s="398">
        <v>44379</v>
      </c>
      <c r="W35" s="399" t="e">
        <f t="shared" si="1"/>
        <v>#REF!</v>
      </c>
      <c r="X35" s="400" t="s">
        <v>129</v>
      </c>
      <c r="Y35" s="401" t="s">
        <v>129</v>
      </c>
      <c r="Z35" s="402" t="s">
        <v>129</v>
      </c>
      <c r="AA35" s="401" t="s">
        <v>129</v>
      </c>
      <c r="AB35" s="403">
        <v>44379</v>
      </c>
      <c r="AC35" s="404"/>
    </row>
    <row r="36" spans="1:29" ht="49.5" customHeight="1" x14ac:dyDescent="0.25">
      <c r="A36" s="109">
        <f t="shared" si="0"/>
        <v>24</v>
      </c>
      <c r="B36" s="386" t="e">
        <f>#REF!</f>
        <v>#REF!</v>
      </c>
      <c r="C36" s="387" t="e">
        <f>#REF!</f>
        <v>#REF!</v>
      </c>
      <c r="D36" s="388" t="e">
        <f>#REF!</f>
        <v>#REF!</v>
      </c>
      <c r="E36" s="389" t="s">
        <v>432</v>
      </c>
      <c r="F36" s="390" t="s">
        <v>12</v>
      </c>
      <c r="G36" s="388" t="e">
        <f>#REF!</f>
        <v>#REF!</v>
      </c>
      <c r="H36" s="87" t="s">
        <v>230</v>
      </c>
      <c r="I36" s="391" t="s">
        <v>12</v>
      </c>
      <c r="J36" s="390" t="s">
        <v>12</v>
      </c>
      <c r="K36" s="117" t="s">
        <v>230</v>
      </c>
      <c r="L36" s="94" t="s">
        <v>233</v>
      </c>
      <c r="M36" s="118" t="s">
        <v>12</v>
      </c>
      <c r="N36" s="392" t="s">
        <v>435</v>
      </c>
      <c r="O36" s="393" t="s">
        <v>12</v>
      </c>
      <c r="P36" s="88" t="s">
        <v>230</v>
      </c>
      <c r="Q36" s="394" t="s">
        <v>230</v>
      </c>
      <c r="R36" s="395" t="s">
        <v>230</v>
      </c>
      <c r="S36" s="396" t="s">
        <v>230</v>
      </c>
      <c r="T36" s="397" t="s">
        <v>230</v>
      </c>
      <c r="U36" s="396" t="s">
        <v>230</v>
      </c>
      <c r="V36" s="398">
        <v>44412</v>
      </c>
      <c r="W36" s="399" t="e">
        <f t="shared" si="1"/>
        <v>#REF!</v>
      </c>
      <c r="X36" s="400" t="s">
        <v>230</v>
      </c>
      <c r="Y36" s="401" t="s">
        <v>230</v>
      </c>
      <c r="Z36" s="402" t="s">
        <v>230</v>
      </c>
      <c r="AA36" s="401" t="s">
        <v>230</v>
      </c>
      <c r="AB36" s="403">
        <v>44412</v>
      </c>
      <c r="AC36" s="404"/>
    </row>
    <row r="37" spans="1:29" ht="49.5" customHeight="1" x14ac:dyDescent="0.25">
      <c r="A37" s="109">
        <f t="shared" si="0"/>
        <v>25</v>
      </c>
      <c r="B37" s="386" t="e">
        <f>#REF!</f>
        <v>#REF!</v>
      </c>
      <c r="C37" s="387" t="e">
        <f>#REF!</f>
        <v>#REF!</v>
      </c>
      <c r="D37" s="388" t="e">
        <f>#REF!</f>
        <v>#REF!</v>
      </c>
      <c r="E37" s="389" t="s">
        <v>346</v>
      </c>
      <c r="F37" s="390" t="s">
        <v>12</v>
      </c>
      <c r="G37" s="388" t="e">
        <f>#REF!</f>
        <v>#REF!</v>
      </c>
      <c r="H37" s="87" t="s">
        <v>129</v>
      </c>
      <c r="I37" s="391" t="s">
        <v>12</v>
      </c>
      <c r="J37" s="390" t="s">
        <v>12</v>
      </c>
      <c r="K37" s="117" t="s">
        <v>129</v>
      </c>
      <c r="L37" s="94" t="s">
        <v>234</v>
      </c>
      <c r="M37" s="118" t="s">
        <v>12</v>
      </c>
      <c r="N37" s="392" t="s">
        <v>437</v>
      </c>
      <c r="O37" s="393" t="s">
        <v>12</v>
      </c>
      <c r="P37" s="88" t="s">
        <v>129</v>
      </c>
      <c r="Q37" s="394" t="s">
        <v>129</v>
      </c>
      <c r="R37" s="395" t="s">
        <v>129</v>
      </c>
      <c r="S37" s="396" t="s">
        <v>129</v>
      </c>
      <c r="T37" s="397" t="s">
        <v>129</v>
      </c>
      <c r="U37" s="396" t="s">
        <v>129</v>
      </c>
      <c r="V37" s="398">
        <v>44077</v>
      </c>
      <c r="W37" s="399" t="e">
        <f t="shared" si="1"/>
        <v>#REF!</v>
      </c>
      <c r="X37" s="400" t="s">
        <v>129</v>
      </c>
      <c r="Y37" s="401" t="s">
        <v>129</v>
      </c>
      <c r="Z37" s="402" t="s">
        <v>129</v>
      </c>
      <c r="AA37" s="401" t="s">
        <v>129</v>
      </c>
      <c r="AB37" s="403">
        <v>44077</v>
      </c>
      <c r="AC37" s="404"/>
    </row>
    <row r="38" spans="1:29" ht="49.5" customHeight="1" x14ac:dyDescent="0.25">
      <c r="A38" s="109">
        <f t="shared" si="0"/>
        <v>26</v>
      </c>
      <c r="B38" s="386" t="e">
        <f>#REF!</f>
        <v>#REF!</v>
      </c>
      <c r="C38" s="387" t="e">
        <f>#REF!</f>
        <v>#REF!</v>
      </c>
      <c r="D38" s="388" t="e">
        <f>#REF!</f>
        <v>#REF!</v>
      </c>
      <c r="E38" s="389" t="s">
        <v>428</v>
      </c>
      <c r="F38" s="390" t="s">
        <v>12</v>
      </c>
      <c r="G38" s="388" t="e">
        <f>#REF!</f>
        <v>#REF!</v>
      </c>
      <c r="H38" s="87" t="s">
        <v>230</v>
      </c>
      <c r="I38" s="391" t="s">
        <v>12</v>
      </c>
      <c r="J38" s="390" t="s">
        <v>12</v>
      </c>
      <c r="K38" s="117" t="s">
        <v>230</v>
      </c>
      <c r="L38" s="94" t="s">
        <v>235</v>
      </c>
      <c r="M38" s="118" t="s">
        <v>12</v>
      </c>
      <c r="N38" s="392" t="s">
        <v>439</v>
      </c>
      <c r="O38" s="393" t="s">
        <v>12</v>
      </c>
      <c r="P38" s="88" t="s">
        <v>230</v>
      </c>
      <c r="Q38" s="394" t="s">
        <v>230</v>
      </c>
      <c r="R38" s="395" t="s">
        <v>230</v>
      </c>
      <c r="S38" s="396" t="s">
        <v>230</v>
      </c>
      <c r="T38" s="397" t="s">
        <v>230</v>
      </c>
      <c r="U38" s="396" t="s">
        <v>230</v>
      </c>
      <c r="V38" s="398">
        <v>44107</v>
      </c>
      <c r="W38" s="399" t="e">
        <f t="shared" si="1"/>
        <v>#REF!</v>
      </c>
      <c r="X38" s="400" t="s">
        <v>230</v>
      </c>
      <c r="Y38" s="401" t="s">
        <v>230</v>
      </c>
      <c r="Z38" s="402" t="s">
        <v>230</v>
      </c>
      <c r="AA38" s="401" t="s">
        <v>230</v>
      </c>
      <c r="AB38" s="403">
        <v>44107</v>
      </c>
      <c r="AC38" s="404"/>
    </row>
    <row r="39" spans="1:29" ht="49.5" customHeight="1" x14ac:dyDescent="0.25">
      <c r="A39" s="109">
        <f t="shared" si="0"/>
        <v>27</v>
      </c>
      <c r="B39" s="386" t="e">
        <f>#REF!</f>
        <v>#REF!</v>
      </c>
      <c r="C39" s="387" t="e">
        <f>#REF!</f>
        <v>#REF!</v>
      </c>
      <c r="D39" s="388" t="e">
        <f>#REF!</f>
        <v>#REF!</v>
      </c>
      <c r="E39" s="389" t="s">
        <v>430</v>
      </c>
      <c r="F39" s="390" t="s">
        <v>12</v>
      </c>
      <c r="G39" s="388" t="e">
        <f>#REF!</f>
        <v>#REF!</v>
      </c>
      <c r="H39" s="87" t="s">
        <v>129</v>
      </c>
      <c r="I39" s="391" t="s">
        <v>12</v>
      </c>
      <c r="J39" s="390" t="s">
        <v>12</v>
      </c>
      <c r="K39" s="117" t="s">
        <v>129</v>
      </c>
      <c r="L39" s="94" t="s">
        <v>236</v>
      </c>
      <c r="M39" s="118" t="s">
        <v>12</v>
      </c>
      <c r="N39" s="392" t="s">
        <v>440</v>
      </c>
      <c r="O39" s="393" t="s">
        <v>12</v>
      </c>
      <c r="P39" s="88" t="s">
        <v>129</v>
      </c>
      <c r="Q39" s="394" t="s">
        <v>129</v>
      </c>
      <c r="R39" s="395" t="s">
        <v>129</v>
      </c>
      <c r="S39" s="396" t="s">
        <v>129</v>
      </c>
      <c r="T39" s="397" t="s">
        <v>129</v>
      </c>
      <c r="U39" s="396" t="s">
        <v>129</v>
      </c>
      <c r="V39" s="398">
        <v>44137</v>
      </c>
      <c r="W39" s="399" t="e">
        <f t="shared" si="1"/>
        <v>#REF!</v>
      </c>
      <c r="X39" s="400" t="s">
        <v>129</v>
      </c>
      <c r="Y39" s="401" t="s">
        <v>129</v>
      </c>
      <c r="Z39" s="402" t="s">
        <v>129</v>
      </c>
      <c r="AA39" s="401" t="s">
        <v>129</v>
      </c>
      <c r="AB39" s="403">
        <v>44137</v>
      </c>
      <c r="AC39" s="404"/>
    </row>
    <row r="40" spans="1:29" ht="49.5" customHeight="1" x14ac:dyDescent="0.25">
      <c r="A40" s="109">
        <f t="shared" si="0"/>
        <v>28</v>
      </c>
      <c r="B40" s="386" t="e">
        <f>#REF!</f>
        <v>#REF!</v>
      </c>
      <c r="C40" s="387" t="e">
        <f>#REF!</f>
        <v>#REF!</v>
      </c>
      <c r="D40" s="388" t="e">
        <f>#REF!</f>
        <v>#REF!</v>
      </c>
      <c r="E40" s="389" t="s">
        <v>432</v>
      </c>
      <c r="F40" s="390" t="s">
        <v>12</v>
      </c>
      <c r="G40" s="388" t="e">
        <f>#REF!</f>
        <v>#REF!</v>
      </c>
      <c r="H40" s="87" t="s">
        <v>230</v>
      </c>
      <c r="I40" s="391" t="s">
        <v>12</v>
      </c>
      <c r="J40" s="390" t="s">
        <v>12</v>
      </c>
      <c r="K40" s="117" t="s">
        <v>230</v>
      </c>
      <c r="L40" s="94" t="s">
        <v>237</v>
      </c>
      <c r="M40" s="118" t="s">
        <v>12</v>
      </c>
      <c r="N40" s="392" t="s">
        <v>429</v>
      </c>
      <c r="O40" s="393" t="s">
        <v>12</v>
      </c>
      <c r="P40" s="88" t="s">
        <v>230</v>
      </c>
      <c r="Q40" s="394" t="s">
        <v>230</v>
      </c>
      <c r="R40" s="395" t="s">
        <v>230</v>
      </c>
      <c r="S40" s="396" t="s">
        <v>230</v>
      </c>
      <c r="T40" s="397" t="s">
        <v>230</v>
      </c>
      <c r="U40" s="396" t="s">
        <v>230</v>
      </c>
      <c r="V40" s="398">
        <v>44170</v>
      </c>
      <c r="W40" s="399" t="e">
        <f t="shared" si="1"/>
        <v>#REF!</v>
      </c>
      <c r="X40" s="400" t="s">
        <v>230</v>
      </c>
      <c r="Y40" s="401" t="s">
        <v>230</v>
      </c>
      <c r="Z40" s="402" t="s">
        <v>230</v>
      </c>
      <c r="AA40" s="401" t="s">
        <v>230</v>
      </c>
      <c r="AB40" s="403">
        <v>44170</v>
      </c>
      <c r="AC40" s="404"/>
    </row>
    <row r="41" spans="1:29" ht="49.5" customHeight="1" x14ac:dyDescent="0.25">
      <c r="A41" s="109">
        <f t="shared" si="0"/>
        <v>29</v>
      </c>
      <c r="B41" s="386" t="e">
        <f>#REF!</f>
        <v>#REF!</v>
      </c>
      <c r="C41" s="387" t="e">
        <f>#REF!</f>
        <v>#REF!</v>
      </c>
      <c r="D41" s="388" t="e">
        <f>#REF!</f>
        <v>#REF!</v>
      </c>
      <c r="E41" s="389" t="s">
        <v>434</v>
      </c>
      <c r="F41" s="390" t="s">
        <v>12</v>
      </c>
      <c r="G41" s="388" t="e">
        <f>#REF!</f>
        <v>#REF!</v>
      </c>
      <c r="H41" s="87" t="s">
        <v>129</v>
      </c>
      <c r="I41" s="391" t="s">
        <v>12</v>
      </c>
      <c r="J41" s="390" t="s">
        <v>12</v>
      </c>
      <c r="K41" s="117" t="s">
        <v>129</v>
      </c>
      <c r="L41" s="94" t="s">
        <v>238</v>
      </c>
      <c r="M41" s="118" t="s">
        <v>12</v>
      </c>
      <c r="N41" s="392" t="s">
        <v>431</v>
      </c>
      <c r="O41" s="393" t="s">
        <v>12</v>
      </c>
      <c r="P41" s="88" t="s">
        <v>129</v>
      </c>
      <c r="Q41" s="394" t="s">
        <v>129</v>
      </c>
      <c r="R41" s="395" t="s">
        <v>129</v>
      </c>
      <c r="S41" s="396" t="s">
        <v>129</v>
      </c>
      <c r="T41" s="397" t="s">
        <v>129</v>
      </c>
      <c r="U41" s="396" t="s">
        <v>129</v>
      </c>
      <c r="V41" s="398">
        <v>44201</v>
      </c>
      <c r="W41" s="399" t="e">
        <f t="shared" si="1"/>
        <v>#REF!</v>
      </c>
      <c r="X41" s="400" t="s">
        <v>129</v>
      </c>
      <c r="Y41" s="401" t="s">
        <v>129</v>
      </c>
      <c r="Z41" s="402" t="s">
        <v>129</v>
      </c>
      <c r="AA41" s="401" t="s">
        <v>129</v>
      </c>
      <c r="AB41" s="403">
        <v>44201</v>
      </c>
      <c r="AC41" s="404"/>
    </row>
    <row r="42" spans="1:29" ht="49.5" customHeight="1" x14ac:dyDescent="0.25">
      <c r="A42" s="109">
        <f t="shared" si="0"/>
        <v>30</v>
      </c>
      <c r="B42" s="386" t="e">
        <f>#REF!</f>
        <v>#REF!</v>
      </c>
      <c r="C42" s="387" t="e">
        <f>#REF!</f>
        <v>#REF!</v>
      </c>
      <c r="D42" s="388" t="e">
        <f>#REF!</f>
        <v>#REF!</v>
      </c>
      <c r="E42" s="389" t="s">
        <v>436</v>
      </c>
      <c r="F42" s="390" t="s">
        <v>12</v>
      </c>
      <c r="G42" s="388" t="e">
        <f>#REF!</f>
        <v>#REF!</v>
      </c>
      <c r="H42" s="87" t="s">
        <v>230</v>
      </c>
      <c r="I42" s="391" t="s">
        <v>12</v>
      </c>
      <c r="J42" s="390" t="s">
        <v>12</v>
      </c>
      <c r="K42" s="117" t="s">
        <v>230</v>
      </c>
      <c r="L42" s="94" t="s">
        <v>229</v>
      </c>
      <c r="M42" s="118" t="s">
        <v>12</v>
      </c>
      <c r="N42" s="392" t="s">
        <v>433</v>
      </c>
      <c r="O42" s="393" t="s">
        <v>12</v>
      </c>
      <c r="P42" s="88" t="s">
        <v>230</v>
      </c>
      <c r="Q42" s="394" t="s">
        <v>230</v>
      </c>
      <c r="R42" s="395" t="s">
        <v>230</v>
      </c>
      <c r="S42" s="396" t="s">
        <v>230</v>
      </c>
      <c r="T42" s="397" t="s">
        <v>230</v>
      </c>
      <c r="U42" s="396" t="s">
        <v>230</v>
      </c>
      <c r="V42" s="398">
        <v>44230</v>
      </c>
      <c r="W42" s="399" t="e">
        <f t="shared" si="1"/>
        <v>#REF!</v>
      </c>
      <c r="X42" s="400" t="s">
        <v>230</v>
      </c>
      <c r="Y42" s="401" t="s">
        <v>230</v>
      </c>
      <c r="Z42" s="402" t="s">
        <v>230</v>
      </c>
      <c r="AA42" s="401" t="s">
        <v>230</v>
      </c>
      <c r="AB42" s="403">
        <v>44230</v>
      </c>
      <c r="AC42" s="404"/>
    </row>
    <row r="43" spans="1:29" ht="49.5" customHeight="1" x14ac:dyDescent="0.25">
      <c r="A43" s="109">
        <f t="shared" si="0"/>
        <v>31</v>
      </c>
      <c r="B43" s="386" t="e">
        <f>#REF!</f>
        <v>#REF!</v>
      </c>
      <c r="C43" s="387" t="e">
        <f>#REF!</f>
        <v>#REF!</v>
      </c>
      <c r="D43" s="388" t="e">
        <f>#REF!</f>
        <v>#REF!</v>
      </c>
      <c r="E43" s="389" t="s">
        <v>438</v>
      </c>
      <c r="F43" s="390" t="s">
        <v>12</v>
      </c>
      <c r="G43" s="388" t="e">
        <f>#REF!</f>
        <v>#REF!</v>
      </c>
      <c r="H43" s="87" t="s">
        <v>129</v>
      </c>
      <c r="I43" s="391" t="s">
        <v>12</v>
      </c>
      <c r="J43" s="390" t="s">
        <v>12</v>
      </c>
      <c r="K43" s="117" t="s">
        <v>129</v>
      </c>
      <c r="L43" s="94" t="s">
        <v>229</v>
      </c>
      <c r="M43" s="118" t="s">
        <v>12</v>
      </c>
      <c r="N43" s="392" t="s">
        <v>429</v>
      </c>
      <c r="O43" s="393" t="s">
        <v>12</v>
      </c>
      <c r="P43" s="88" t="s">
        <v>129</v>
      </c>
      <c r="Q43" s="394" t="s">
        <v>129</v>
      </c>
      <c r="R43" s="395" t="s">
        <v>129</v>
      </c>
      <c r="S43" s="396" t="s">
        <v>129</v>
      </c>
      <c r="T43" s="397" t="s">
        <v>129</v>
      </c>
      <c r="U43" s="396" t="s">
        <v>129</v>
      </c>
      <c r="V43" s="398">
        <v>44259</v>
      </c>
      <c r="W43" s="399" t="e">
        <f t="shared" si="1"/>
        <v>#REF!</v>
      </c>
      <c r="X43" s="400" t="s">
        <v>129</v>
      </c>
      <c r="Y43" s="401" t="s">
        <v>129</v>
      </c>
      <c r="Z43" s="402" t="s">
        <v>129</v>
      </c>
      <c r="AA43" s="401" t="s">
        <v>129</v>
      </c>
      <c r="AB43" s="403">
        <v>44259</v>
      </c>
      <c r="AC43" s="404"/>
    </row>
    <row r="44" spans="1:29" ht="49.5" customHeight="1" x14ac:dyDescent="0.25">
      <c r="A44" s="109">
        <f t="shared" si="0"/>
        <v>32</v>
      </c>
      <c r="B44" s="386" t="e">
        <f>#REF!</f>
        <v>#REF!</v>
      </c>
      <c r="C44" s="387" t="e">
        <f>#REF!</f>
        <v>#REF!</v>
      </c>
      <c r="D44" s="388" t="e">
        <f>#REF!</f>
        <v>#REF!</v>
      </c>
      <c r="E44" s="389" t="s">
        <v>346</v>
      </c>
      <c r="F44" s="390" t="s">
        <v>12</v>
      </c>
      <c r="G44" s="388" t="e">
        <f>#REF!</f>
        <v>#REF!</v>
      </c>
      <c r="H44" s="87" t="s">
        <v>230</v>
      </c>
      <c r="I44" s="391" t="s">
        <v>12</v>
      </c>
      <c r="J44" s="390" t="s">
        <v>12</v>
      </c>
      <c r="K44" s="117" t="s">
        <v>230</v>
      </c>
      <c r="L44" s="94" t="s">
        <v>231</v>
      </c>
      <c r="M44" s="118" t="s">
        <v>12</v>
      </c>
      <c r="N44" s="392" t="s">
        <v>431</v>
      </c>
      <c r="O44" s="393" t="s">
        <v>12</v>
      </c>
      <c r="P44" s="88" t="s">
        <v>230</v>
      </c>
      <c r="Q44" s="394" t="s">
        <v>230</v>
      </c>
      <c r="R44" s="395" t="s">
        <v>230</v>
      </c>
      <c r="S44" s="396" t="s">
        <v>230</v>
      </c>
      <c r="T44" s="397" t="s">
        <v>230</v>
      </c>
      <c r="U44" s="396" t="s">
        <v>230</v>
      </c>
      <c r="V44" s="398">
        <v>44291</v>
      </c>
      <c r="W44" s="399" t="e">
        <f t="shared" si="1"/>
        <v>#REF!</v>
      </c>
      <c r="X44" s="400" t="s">
        <v>230</v>
      </c>
      <c r="Y44" s="401" t="s">
        <v>230</v>
      </c>
      <c r="Z44" s="402" t="s">
        <v>230</v>
      </c>
      <c r="AA44" s="401" t="s">
        <v>230</v>
      </c>
      <c r="AB44" s="403">
        <v>44291</v>
      </c>
      <c r="AC44" s="404"/>
    </row>
    <row r="45" spans="1:29" ht="49.5" customHeight="1" x14ac:dyDescent="0.25">
      <c r="A45" s="109">
        <f t="shared" si="0"/>
        <v>33</v>
      </c>
      <c r="B45" s="386" t="e">
        <f>#REF!</f>
        <v>#REF!</v>
      </c>
      <c r="C45" s="387" t="e">
        <f>#REF!</f>
        <v>#REF!</v>
      </c>
      <c r="D45" s="388" t="e">
        <f>#REF!</f>
        <v>#REF!</v>
      </c>
      <c r="E45" s="389" t="s">
        <v>346</v>
      </c>
      <c r="F45" s="390" t="s">
        <v>12</v>
      </c>
      <c r="G45" s="388" t="e">
        <f>#REF!</f>
        <v>#REF!</v>
      </c>
      <c r="H45" s="87" t="s">
        <v>129</v>
      </c>
      <c r="I45" s="391" t="s">
        <v>12</v>
      </c>
      <c r="J45" s="390" t="s">
        <v>12</v>
      </c>
      <c r="K45" s="117" t="s">
        <v>129</v>
      </c>
      <c r="L45" s="94" t="s">
        <v>232</v>
      </c>
      <c r="M45" s="118" t="s">
        <v>12</v>
      </c>
      <c r="N45" s="392" t="s">
        <v>433</v>
      </c>
      <c r="O45" s="393" t="s">
        <v>12</v>
      </c>
      <c r="P45" s="88" t="s">
        <v>129</v>
      </c>
      <c r="Q45" s="394" t="s">
        <v>129</v>
      </c>
      <c r="R45" s="395" t="s">
        <v>129</v>
      </c>
      <c r="S45" s="396" t="s">
        <v>129</v>
      </c>
      <c r="T45" s="397" t="s">
        <v>129</v>
      </c>
      <c r="U45" s="396" t="s">
        <v>129</v>
      </c>
      <c r="V45" s="398">
        <v>44319</v>
      </c>
      <c r="W45" s="399" t="e">
        <f t="shared" si="1"/>
        <v>#REF!</v>
      </c>
      <c r="X45" s="400" t="s">
        <v>129</v>
      </c>
      <c r="Y45" s="401" t="s">
        <v>129</v>
      </c>
      <c r="Z45" s="402" t="s">
        <v>129</v>
      </c>
      <c r="AA45" s="401" t="s">
        <v>129</v>
      </c>
      <c r="AB45" s="403">
        <v>44319</v>
      </c>
      <c r="AC45" s="404"/>
    </row>
    <row r="46" spans="1:29" ht="49.5" customHeight="1" x14ac:dyDescent="0.25">
      <c r="A46" s="109">
        <f t="shared" si="0"/>
        <v>34</v>
      </c>
      <c r="B46" s="386" t="e">
        <f>#REF!</f>
        <v>#REF!</v>
      </c>
      <c r="C46" s="387" t="e">
        <f>#REF!</f>
        <v>#REF!</v>
      </c>
      <c r="D46" s="388" t="e">
        <f>#REF!</f>
        <v>#REF!</v>
      </c>
      <c r="E46" s="389" t="s">
        <v>428</v>
      </c>
      <c r="F46" s="390" t="s">
        <v>12</v>
      </c>
      <c r="G46" s="388" t="e">
        <f>#REF!</f>
        <v>#REF!</v>
      </c>
      <c r="H46" s="87" t="s">
        <v>230</v>
      </c>
      <c r="I46" s="391" t="s">
        <v>12</v>
      </c>
      <c r="J46" s="390" t="s">
        <v>12</v>
      </c>
      <c r="K46" s="117" t="s">
        <v>230</v>
      </c>
      <c r="L46" s="94" t="s">
        <v>233</v>
      </c>
      <c r="M46" s="118" t="s">
        <v>12</v>
      </c>
      <c r="N46" s="392" t="s">
        <v>435</v>
      </c>
      <c r="O46" s="393" t="s">
        <v>12</v>
      </c>
      <c r="P46" s="88" t="s">
        <v>230</v>
      </c>
      <c r="Q46" s="394" t="s">
        <v>230</v>
      </c>
      <c r="R46" s="395" t="s">
        <v>230</v>
      </c>
      <c r="S46" s="396" t="s">
        <v>230</v>
      </c>
      <c r="T46" s="397" t="s">
        <v>230</v>
      </c>
      <c r="U46" s="396" t="s">
        <v>230</v>
      </c>
      <c r="V46" s="398">
        <v>44351</v>
      </c>
      <c r="W46" s="399" t="e">
        <f t="shared" si="1"/>
        <v>#REF!</v>
      </c>
      <c r="X46" s="400" t="s">
        <v>230</v>
      </c>
      <c r="Y46" s="401" t="s">
        <v>230</v>
      </c>
      <c r="Z46" s="402" t="s">
        <v>230</v>
      </c>
      <c r="AA46" s="401" t="s">
        <v>230</v>
      </c>
      <c r="AB46" s="403">
        <v>44351</v>
      </c>
      <c r="AC46" s="404"/>
    </row>
    <row r="47" spans="1:29" ht="49.5" customHeight="1" x14ac:dyDescent="0.25">
      <c r="A47" s="109">
        <f t="shared" si="0"/>
        <v>35</v>
      </c>
      <c r="B47" s="386" t="e">
        <f>#REF!</f>
        <v>#REF!</v>
      </c>
      <c r="C47" s="387" t="e">
        <f>#REF!</f>
        <v>#REF!</v>
      </c>
      <c r="D47" s="388" t="e">
        <f>#REF!</f>
        <v>#REF!</v>
      </c>
      <c r="E47" s="389" t="s">
        <v>430</v>
      </c>
      <c r="F47" s="390" t="s">
        <v>12</v>
      </c>
      <c r="G47" s="388" t="e">
        <f>#REF!</f>
        <v>#REF!</v>
      </c>
      <c r="H47" s="87" t="s">
        <v>129</v>
      </c>
      <c r="I47" s="391" t="s">
        <v>12</v>
      </c>
      <c r="J47" s="390" t="s">
        <v>12</v>
      </c>
      <c r="K47" s="117" t="s">
        <v>129</v>
      </c>
      <c r="L47" s="94" t="s">
        <v>234</v>
      </c>
      <c r="M47" s="118" t="s">
        <v>12</v>
      </c>
      <c r="N47" s="392" t="s">
        <v>437</v>
      </c>
      <c r="O47" s="393" t="s">
        <v>12</v>
      </c>
      <c r="P47" s="88" t="s">
        <v>129</v>
      </c>
      <c r="Q47" s="394" t="s">
        <v>129</v>
      </c>
      <c r="R47" s="395" t="s">
        <v>129</v>
      </c>
      <c r="S47" s="396" t="s">
        <v>129</v>
      </c>
      <c r="T47" s="397" t="s">
        <v>129</v>
      </c>
      <c r="U47" s="396" t="s">
        <v>129</v>
      </c>
      <c r="V47" s="398">
        <v>44379</v>
      </c>
      <c r="W47" s="399" t="e">
        <f t="shared" si="1"/>
        <v>#REF!</v>
      </c>
      <c r="X47" s="400" t="s">
        <v>129</v>
      </c>
      <c r="Y47" s="401" t="s">
        <v>129</v>
      </c>
      <c r="Z47" s="402" t="s">
        <v>129</v>
      </c>
      <c r="AA47" s="401" t="s">
        <v>129</v>
      </c>
      <c r="AB47" s="403">
        <v>44379</v>
      </c>
      <c r="AC47" s="404"/>
    </row>
    <row r="48" spans="1:29" ht="49.5" customHeight="1" x14ac:dyDescent="0.25">
      <c r="A48" s="109">
        <f t="shared" si="0"/>
        <v>36</v>
      </c>
      <c r="B48" s="386" t="e">
        <f>#REF!</f>
        <v>#REF!</v>
      </c>
      <c r="C48" s="387" t="e">
        <f>#REF!</f>
        <v>#REF!</v>
      </c>
      <c r="D48" s="388" t="e">
        <f>#REF!</f>
        <v>#REF!</v>
      </c>
      <c r="E48" s="389" t="s">
        <v>432</v>
      </c>
      <c r="F48" s="390" t="s">
        <v>12</v>
      </c>
      <c r="G48" s="388" t="e">
        <f>#REF!</f>
        <v>#REF!</v>
      </c>
      <c r="H48" s="87" t="s">
        <v>230</v>
      </c>
      <c r="I48" s="391" t="s">
        <v>12</v>
      </c>
      <c r="J48" s="390" t="s">
        <v>12</v>
      </c>
      <c r="K48" s="117" t="s">
        <v>230</v>
      </c>
      <c r="L48" s="94" t="s">
        <v>235</v>
      </c>
      <c r="M48" s="118" t="s">
        <v>12</v>
      </c>
      <c r="N48" s="392" t="s">
        <v>439</v>
      </c>
      <c r="O48" s="393" t="s">
        <v>12</v>
      </c>
      <c r="P48" s="88" t="s">
        <v>230</v>
      </c>
      <c r="Q48" s="394" t="s">
        <v>230</v>
      </c>
      <c r="R48" s="395" t="s">
        <v>230</v>
      </c>
      <c r="S48" s="396" t="s">
        <v>230</v>
      </c>
      <c r="T48" s="397" t="s">
        <v>230</v>
      </c>
      <c r="U48" s="396" t="s">
        <v>230</v>
      </c>
      <c r="V48" s="398">
        <v>44412</v>
      </c>
      <c r="W48" s="399" t="e">
        <f t="shared" si="1"/>
        <v>#REF!</v>
      </c>
      <c r="X48" s="400" t="s">
        <v>230</v>
      </c>
      <c r="Y48" s="401" t="s">
        <v>230</v>
      </c>
      <c r="Z48" s="402" t="s">
        <v>230</v>
      </c>
      <c r="AA48" s="401" t="s">
        <v>230</v>
      </c>
      <c r="AB48" s="403">
        <v>44412</v>
      </c>
      <c r="AC48" s="404"/>
    </row>
    <row r="49" spans="1:29" ht="49.5" customHeight="1" x14ac:dyDescent="0.25">
      <c r="A49" s="109">
        <f t="shared" si="0"/>
        <v>37</v>
      </c>
      <c r="B49" s="386" t="e">
        <f>#REF!</f>
        <v>#REF!</v>
      </c>
      <c r="C49" s="387" t="e">
        <f>#REF!</f>
        <v>#REF!</v>
      </c>
      <c r="D49" s="388" t="e">
        <f>#REF!</f>
        <v>#REF!</v>
      </c>
      <c r="E49" s="389" t="s">
        <v>434</v>
      </c>
      <c r="F49" s="390" t="s">
        <v>12</v>
      </c>
      <c r="G49" s="388" t="e">
        <f>#REF!</f>
        <v>#REF!</v>
      </c>
      <c r="H49" s="87" t="s">
        <v>129</v>
      </c>
      <c r="I49" s="391" t="s">
        <v>12</v>
      </c>
      <c r="J49" s="390" t="s">
        <v>12</v>
      </c>
      <c r="K49" s="117" t="s">
        <v>129</v>
      </c>
      <c r="L49" s="94" t="s">
        <v>236</v>
      </c>
      <c r="M49" s="118" t="s">
        <v>12</v>
      </c>
      <c r="N49" s="392" t="s">
        <v>440</v>
      </c>
      <c r="O49" s="393" t="s">
        <v>12</v>
      </c>
      <c r="P49" s="88" t="s">
        <v>129</v>
      </c>
      <c r="Q49" s="394" t="s">
        <v>129</v>
      </c>
      <c r="R49" s="395" t="s">
        <v>129</v>
      </c>
      <c r="S49" s="396" t="s">
        <v>129</v>
      </c>
      <c r="T49" s="397" t="s">
        <v>129</v>
      </c>
      <c r="U49" s="396" t="s">
        <v>129</v>
      </c>
      <c r="V49" s="398">
        <v>44077</v>
      </c>
      <c r="W49" s="399" t="e">
        <f t="shared" si="1"/>
        <v>#REF!</v>
      </c>
      <c r="X49" s="400" t="s">
        <v>129</v>
      </c>
      <c r="Y49" s="401" t="s">
        <v>129</v>
      </c>
      <c r="Z49" s="402" t="s">
        <v>129</v>
      </c>
      <c r="AA49" s="401" t="s">
        <v>129</v>
      </c>
      <c r="AB49" s="403">
        <v>44077</v>
      </c>
      <c r="AC49" s="404"/>
    </row>
    <row r="50" spans="1:29" ht="49.5" customHeight="1" x14ac:dyDescent="0.25">
      <c r="A50" s="109">
        <f t="shared" si="0"/>
        <v>38</v>
      </c>
      <c r="B50" s="386" t="e">
        <f>#REF!</f>
        <v>#REF!</v>
      </c>
      <c r="C50" s="387" t="e">
        <f>#REF!</f>
        <v>#REF!</v>
      </c>
      <c r="D50" s="388" t="e">
        <f>#REF!</f>
        <v>#REF!</v>
      </c>
      <c r="E50" s="389" t="s">
        <v>436</v>
      </c>
      <c r="F50" s="390" t="s">
        <v>12</v>
      </c>
      <c r="G50" s="388" t="e">
        <f>#REF!</f>
        <v>#REF!</v>
      </c>
      <c r="H50" s="87" t="s">
        <v>230</v>
      </c>
      <c r="I50" s="391" t="s">
        <v>12</v>
      </c>
      <c r="J50" s="390" t="s">
        <v>12</v>
      </c>
      <c r="K50" s="117" t="s">
        <v>230</v>
      </c>
      <c r="L50" s="94" t="s">
        <v>237</v>
      </c>
      <c r="M50" s="118" t="s">
        <v>12</v>
      </c>
      <c r="N50" s="392" t="s">
        <v>429</v>
      </c>
      <c r="O50" s="393" t="s">
        <v>12</v>
      </c>
      <c r="P50" s="88" t="s">
        <v>230</v>
      </c>
      <c r="Q50" s="394" t="s">
        <v>230</v>
      </c>
      <c r="R50" s="395" t="s">
        <v>230</v>
      </c>
      <c r="S50" s="396" t="s">
        <v>230</v>
      </c>
      <c r="T50" s="397" t="s">
        <v>230</v>
      </c>
      <c r="U50" s="396" t="s">
        <v>230</v>
      </c>
      <c r="V50" s="398">
        <v>44077</v>
      </c>
      <c r="W50" s="399" t="e">
        <f t="shared" si="1"/>
        <v>#REF!</v>
      </c>
      <c r="X50" s="400" t="s">
        <v>230</v>
      </c>
      <c r="Y50" s="401" t="s">
        <v>230</v>
      </c>
      <c r="Z50" s="402" t="s">
        <v>230</v>
      </c>
      <c r="AA50" s="401" t="s">
        <v>230</v>
      </c>
      <c r="AB50" s="403">
        <v>44077</v>
      </c>
      <c r="AC50" s="404"/>
    </row>
    <row r="51" spans="1:29" ht="49.5" customHeight="1" x14ac:dyDescent="0.25">
      <c r="A51" s="109">
        <f t="shared" si="0"/>
        <v>39</v>
      </c>
      <c r="B51" s="386" t="e">
        <f>#REF!</f>
        <v>#REF!</v>
      </c>
      <c r="C51" s="387" t="e">
        <f>#REF!</f>
        <v>#REF!</v>
      </c>
      <c r="D51" s="388" t="e">
        <f>#REF!</f>
        <v>#REF!</v>
      </c>
      <c r="E51" s="389" t="s">
        <v>438</v>
      </c>
      <c r="F51" s="390" t="s">
        <v>12</v>
      </c>
      <c r="G51" s="388" t="e">
        <f>#REF!</f>
        <v>#REF!</v>
      </c>
      <c r="H51" s="87" t="s">
        <v>129</v>
      </c>
      <c r="I51" s="391" t="s">
        <v>12</v>
      </c>
      <c r="J51" s="390" t="s">
        <v>12</v>
      </c>
      <c r="K51" s="117" t="s">
        <v>129</v>
      </c>
      <c r="L51" s="94" t="s">
        <v>238</v>
      </c>
      <c r="M51" s="118" t="s">
        <v>12</v>
      </c>
      <c r="N51" s="392" t="s">
        <v>431</v>
      </c>
      <c r="O51" s="393" t="s">
        <v>12</v>
      </c>
      <c r="P51" s="88" t="s">
        <v>129</v>
      </c>
      <c r="Q51" s="394" t="s">
        <v>129</v>
      </c>
      <c r="R51" s="395" t="s">
        <v>129</v>
      </c>
      <c r="S51" s="396" t="s">
        <v>129</v>
      </c>
      <c r="T51" s="397" t="s">
        <v>129</v>
      </c>
      <c r="U51" s="396" t="s">
        <v>129</v>
      </c>
      <c r="V51" s="398">
        <v>44137</v>
      </c>
      <c r="W51" s="399" t="e">
        <f t="shared" si="1"/>
        <v>#REF!</v>
      </c>
      <c r="X51" s="400" t="s">
        <v>129</v>
      </c>
      <c r="Y51" s="401" t="s">
        <v>129</v>
      </c>
      <c r="Z51" s="402" t="s">
        <v>129</v>
      </c>
      <c r="AA51" s="401" t="s">
        <v>129</v>
      </c>
      <c r="AB51" s="403">
        <v>44137</v>
      </c>
      <c r="AC51" s="404"/>
    </row>
    <row r="52" spans="1:29" ht="49.5" customHeight="1" x14ac:dyDescent="0.25">
      <c r="A52" s="109">
        <f t="shared" si="0"/>
        <v>40</v>
      </c>
      <c r="B52" s="386" t="e">
        <f>#REF!</f>
        <v>#REF!</v>
      </c>
      <c r="C52" s="387" t="e">
        <f>#REF!</f>
        <v>#REF!</v>
      </c>
      <c r="D52" s="388" t="e">
        <f>#REF!</f>
        <v>#REF!</v>
      </c>
      <c r="E52" s="389" t="s">
        <v>346</v>
      </c>
      <c r="F52" s="390" t="s">
        <v>12</v>
      </c>
      <c r="G52" s="388" t="e">
        <f>#REF!</f>
        <v>#REF!</v>
      </c>
      <c r="H52" s="87" t="s">
        <v>230</v>
      </c>
      <c r="I52" s="391" t="s">
        <v>12</v>
      </c>
      <c r="J52" s="390" t="s">
        <v>12</v>
      </c>
      <c r="K52" s="117" t="s">
        <v>230</v>
      </c>
      <c r="L52" s="94" t="s">
        <v>229</v>
      </c>
      <c r="M52" s="118" t="s">
        <v>12</v>
      </c>
      <c r="N52" s="392" t="s">
        <v>433</v>
      </c>
      <c r="O52" s="393" t="s">
        <v>12</v>
      </c>
      <c r="P52" s="88" t="s">
        <v>230</v>
      </c>
      <c r="Q52" s="394" t="s">
        <v>230</v>
      </c>
      <c r="R52" s="395" t="s">
        <v>230</v>
      </c>
      <c r="S52" s="396" t="s">
        <v>230</v>
      </c>
      <c r="T52" s="397" t="s">
        <v>230</v>
      </c>
      <c r="U52" s="396" t="s">
        <v>230</v>
      </c>
      <c r="V52" s="398">
        <v>44170</v>
      </c>
      <c r="W52" s="399" t="e">
        <f t="shared" si="1"/>
        <v>#REF!</v>
      </c>
      <c r="X52" s="400" t="s">
        <v>230</v>
      </c>
      <c r="Y52" s="401" t="s">
        <v>230</v>
      </c>
      <c r="Z52" s="402" t="s">
        <v>230</v>
      </c>
      <c r="AA52" s="401" t="s">
        <v>230</v>
      </c>
      <c r="AB52" s="403">
        <v>44170</v>
      </c>
      <c r="AC52" s="404"/>
    </row>
    <row r="53" spans="1:29" ht="49.5" customHeight="1" x14ac:dyDescent="0.25">
      <c r="A53" s="109">
        <f t="shared" si="0"/>
        <v>41</v>
      </c>
      <c r="B53" s="386" t="e">
        <f>#REF!</f>
        <v>#REF!</v>
      </c>
      <c r="C53" s="387" t="e">
        <f>#REF!</f>
        <v>#REF!</v>
      </c>
      <c r="D53" s="388" t="e">
        <f>#REF!</f>
        <v>#REF!</v>
      </c>
      <c r="E53" s="389" t="s">
        <v>346</v>
      </c>
      <c r="F53" s="390" t="s">
        <v>12</v>
      </c>
      <c r="G53" s="388" t="e">
        <f>#REF!</f>
        <v>#REF!</v>
      </c>
      <c r="H53" s="87" t="s">
        <v>129</v>
      </c>
      <c r="I53" s="391" t="s">
        <v>12</v>
      </c>
      <c r="J53" s="390" t="s">
        <v>12</v>
      </c>
      <c r="K53" s="117" t="s">
        <v>129</v>
      </c>
      <c r="L53" s="405" t="s">
        <v>229</v>
      </c>
      <c r="M53" s="118" t="s">
        <v>12</v>
      </c>
      <c r="N53" s="392" t="s">
        <v>429</v>
      </c>
      <c r="O53" s="393" t="s">
        <v>12</v>
      </c>
      <c r="P53" s="88" t="s">
        <v>129</v>
      </c>
      <c r="Q53" s="394" t="s">
        <v>129</v>
      </c>
      <c r="R53" s="395" t="s">
        <v>129</v>
      </c>
      <c r="S53" s="396" t="s">
        <v>129</v>
      </c>
      <c r="T53" s="397" t="s">
        <v>129</v>
      </c>
      <c r="U53" s="396" t="s">
        <v>129</v>
      </c>
      <c r="V53" s="398">
        <v>44201</v>
      </c>
      <c r="W53" s="399" t="e">
        <f t="shared" si="1"/>
        <v>#REF!</v>
      </c>
      <c r="X53" s="400" t="s">
        <v>129</v>
      </c>
      <c r="Y53" s="401" t="s">
        <v>129</v>
      </c>
      <c r="Z53" s="402" t="s">
        <v>129</v>
      </c>
      <c r="AA53" s="401" t="s">
        <v>129</v>
      </c>
      <c r="AB53" s="403">
        <v>44201</v>
      </c>
      <c r="AC53" s="404"/>
    </row>
    <row r="54" spans="1:29" ht="49.5" customHeight="1" x14ac:dyDescent="0.25">
      <c r="A54" s="109">
        <f t="shared" si="0"/>
        <v>42</v>
      </c>
      <c r="B54" s="386" t="e">
        <f>#REF!</f>
        <v>#REF!</v>
      </c>
      <c r="C54" s="387" t="e">
        <f>#REF!</f>
        <v>#REF!</v>
      </c>
      <c r="D54" s="388" t="e">
        <f>#REF!</f>
        <v>#REF!</v>
      </c>
      <c r="E54" s="389" t="s">
        <v>428</v>
      </c>
      <c r="F54" s="390" t="s">
        <v>12</v>
      </c>
      <c r="G54" s="388" t="e">
        <f>#REF!</f>
        <v>#REF!</v>
      </c>
      <c r="H54" s="87" t="s">
        <v>230</v>
      </c>
      <c r="I54" s="391" t="s">
        <v>12</v>
      </c>
      <c r="J54" s="390" t="s">
        <v>12</v>
      </c>
      <c r="K54" s="117" t="s">
        <v>230</v>
      </c>
      <c r="L54" s="405" t="s">
        <v>231</v>
      </c>
      <c r="M54" s="118" t="s">
        <v>12</v>
      </c>
      <c r="N54" s="392" t="s">
        <v>431</v>
      </c>
      <c r="O54" s="393" t="s">
        <v>12</v>
      </c>
      <c r="P54" s="88" t="s">
        <v>230</v>
      </c>
      <c r="Q54" s="394" t="s">
        <v>230</v>
      </c>
      <c r="R54" s="395" t="s">
        <v>230</v>
      </c>
      <c r="S54" s="396" t="s">
        <v>230</v>
      </c>
      <c r="T54" s="397" t="s">
        <v>230</v>
      </c>
      <c r="U54" s="396" t="s">
        <v>230</v>
      </c>
      <c r="V54" s="398">
        <v>44230</v>
      </c>
      <c r="W54" s="399" t="e">
        <f t="shared" si="1"/>
        <v>#REF!</v>
      </c>
      <c r="X54" s="400" t="s">
        <v>230</v>
      </c>
      <c r="Y54" s="401" t="s">
        <v>230</v>
      </c>
      <c r="Z54" s="402" t="s">
        <v>230</v>
      </c>
      <c r="AA54" s="401" t="s">
        <v>230</v>
      </c>
      <c r="AB54" s="403">
        <v>44230</v>
      </c>
      <c r="AC54" s="404"/>
    </row>
    <row r="55" spans="1:29" ht="49.5" customHeight="1" x14ac:dyDescent="0.25">
      <c r="A55" s="109">
        <f t="shared" si="0"/>
        <v>43</v>
      </c>
      <c r="B55" s="386" t="e">
        <f>#REF!</f>
        <v>#REF!</v>
      </c>
      <c r="C55" s="387" t="e">
        <f>#REF!</f>
        <v>#REF!</v>
      </c>
      <c r="D55" s="388" t="e">
        <f>#REF!</f>
        <v>#REF!</v>
      </c>
      <c r="E55" s="389" t="s">
        <v>430</v>
      </c>
      <c r="F55" s="390" t="s">
        <v>12</v>
      </c>
      <c r="G55" s="388" t="e">
        <f>#REF!</f>
        <v>#REF!</v>
      </c>
      <c r="H55" s="87" t="s">
        <v>129</v>
      </c>
      <c r="I55" s="391" t="s">
        <v>12</v>
      </c>
      <c r="J55" s="390" t="s">
        <v>12</v>
      </c>
      <c r="K55" s="117" t="s">
        <v>129</v>
      </c>
      <c r="L55" s="405" t="s">
        <v>232</v>
      </c>
      <c r="M55" s="118" t="s">
        <v>12</v>
      </c>
      <c r="N55" s="392" t="s">
        <v>433</v>
      </c>
      <c r="O55" s="393" t="s">
        <v>12</v>
      </c>
      <c r="P55" s="88" t="s">
        <v>129</v>
      </c>
      <c r="Q55" s="394" t="s">
        <v>129</v>
      </c>
      <c r="R55" s="395" t="s">
        <v>129</v>
      </c>
      <c r="S55" s="396" t="s">
        <v>129</v>
      </c>
      <c r="T55" s="397" t="s">
        <v>129</v>
      </c>
      <c r="U55" s="396" t="s">
        <v>129</v>
      </c>
      <c r="V55" s="398">
        <v>44259</v>
      </c>
      <c r="W55" s="399" t="e">
        <f t="shared" si="1"/>
        <v>#REF!</v>
      </c>
      <c r="X55" s="400" t="s">
        <v>129</v>
      </c>
      <c r="Y55" s="401" t="s">
        <v>129</v>
      </c>
      <c r="Z55" s="402" t="s">
        <v>129</v>
      </c>
      <c r="AA55" s="401" t="s">
        <v>129</v>
      </c>
      <c r="AB55" s="403">
        <v>44259</v>
      </c>
      <c r="AC55" s="404"/>
    </row>
    <row r="56" spans="1:29" ht="49.5" customHeight="1" x14ac:dyDescent="0.25">
      <c r="A56" s="109">
        <f t="shared" si="0"/>
        <v>44</v>
      </c>
      <c r="B56" s="386" t="e">
        <f>#REF!</f>
        <v>#REF!</v>
      </c>
      <c r="C56" s="387" t="e">
        <f>#REF!</f>
        <v>#REF!</v>
      </c>
      <c r="D56" s="388" t="e">
        <f>#REF!</f>
        <v>#REF!</v>
      </c>
      <c r="E56" s="389" t="s">
        <v>432</v>
      </c>
      <c r="F56" s="390" t="s">
        <v>12</v>
      </c>
      <c r="G56" s="388" t="e">
        <f>#REF!</f>
        <v>#REF!</v>
      </c>
      <c r="H56" s="87" t="s">
        <v>230</v>
      </c>
      <c r="I56" s="391" t="s">
        <v>12</v>
      </c>
      <c r="J56" s="390" t="s">
        <v>12</v>
      </c>
      <c r="K56" s="117" t="s">
        <v>230</v>
      </c>
      <c r="L56" s="405" t="s">
        <v>233</v>
      </c>
      <c r="M56" s="118" t="s">
        <v>12</v>
      </c>
      <c r="N56" s="392" t="s">
        <v>435</v>
      </c>
      <c r="O56" s="393" t="s">
        <v>12</v>
      </c>
      <c r="P56" s="88" t="s">
        <v>230</v>
      </c>
      <c r="Q56" s="394" t="s">
        <v>230</v>
      </c>
      <c r="R56" s="395" t="s">
        <v>230</v>
      </c>
      <c r="S56" s="396" t="s">
        <v>230</v>
      </c>
      <c r="T56" s="397" t="s">
        <v>230</v>
      </c>
      <c r="U56" s="396" t="s">
        <v>230</v>
      </c>
      <c r="V56" s="398">
        <v>44291</v>
      </c>
      <c r="W56" s="399" t="e">
        <f t="shared" si="1"/>
        <v>#REF!</v>
      </c>
      <c r="X56" s="400" t="s">
        <v>230</v>
      </c>
      <c r="Y56" s="401" t="s">
        <v>230</v>
      </c>
      <c r="Z56" s="402" t="s">
        <v>230</v>
      </c>
      <c r="AA56" s="401" t="s">
        <v>230</v>
      </c>
      <c r="AB56" s="403">
        <v>44291</v>
      </c>
      <c r="AC56" s="404"/>
    </row>
    <row r="57" spans="1:29" ht="49.5" customHeight="1" x14ac:dyDescent="0.25">
      <c r="A57" s="109">
        <f t="shared" si="0"/>
        <v>45</v>
      </c>
      <c r="B57" s="386" t="e">
        <f>#REF!</f>
        <v>#REF!</v>
      </c>
      <c r="C57" s="387" t="e">
        <f>#REF!</f>
        <v>#REF!</v>
      </c>
      <c r="D57" s="388" t="e">
        <f>#REF!</f>
        <v>#REF!</v>
      </c>
      <c r="E57" s="389" t="s">
        <v>434</v>
      </c>
      <c r="F57" s="390" t="s">
        <v>12</v>
      </c>
      <c r="G57" s="388" t="e">
        <f>#REF!</f>
        <v>#REF!</v>
      </c>
      <c r="H57" s="87" t="s">
        <v>129</v>
      </c>
      <c r="I57" s="391" t="s">
        <v>12</v>
      </c>
      <c r="J57" s="390" t="s">
        <v>12</v>
      </c>
      <c r="K57" s="117" t="s">
        <v>129</v>
      </c>
      <c r="L57" s="405" t="s">
        <v>234</v>
      </c>
      <c r="M57" s="118" t="s">
        <v>12</v>
      </c>
      <c r="N57" s="392" t="s">
        <v>437</v>
      </c>
      <c r="O57" s="393" t="s">
        <v>12</v>
      </c>
      <c r="P57" s="88" t="s">
        <v>129</v>
      </c>
      <c r="Q57" s="394" t="s">
        <v>129</v>
      </c>
      <c r="R57" s="395" t="s">
        <v>129</v>
      </c>
      <c r="S57" s="396" t="s">
        <v>129</v>
      </c>
      <c r="T57" s="397" t="s">
        <v>129</v>
      </c>
      <c r="U57" s="396" t="s">
        <v>129</v>
      </c>
      <c r="V57" s="398">
        <v>44319</v>
      </c>
      <c r="W57" s="399" t="e">
        <f t="shared" si="1"/>
        <v>#REF!</v>
      </c>
      <c r="X57" s="400" t="s">
        <v>129</v>
      </c>
      <c r="Y57" s="401" t="s">
        <v>129</v>
      </c>
      <c r="Z57" s="402" t="s">
        <v>129</v>
      </c>
      <c r="AA57" s="401" t="s">
        <v>129</v>
      </c>
      <c r="AB57" s="403">
        <v>44319</v>
      </c>
      <c r="AC57" s="404"/>
    </row>
    <row r="58" spans="1:29" ht="49.5" customHeight="1" x14ac:dyDescent="0.25">
      <c r="A58" s="109">
        <f t="shared" si="0"/>
        <v>46</v>
      </c>
      <c r="B58" s="386" t="e">
        <f>#REF!</f>
        <v>#REF!</v>
      </c>
      <c r="C58" s="387" t="e">
        <f>#REF!</f>
        <v>#REF!</v>
      </c>
      <c r="D58" s="388" t="e">
        <f>#REF!</f>
        <v>#REF!</v>
      </c>
      <c r="E58" s="389" t="s">
        <v>436</v>
      </c>
      <c r="F58" s="390" t="s">
        <v>12</v>
      </c>
      <c r="G58" s="388" t="e">
        <f>#REF!</f>
        <v>#REF!</v>
      </c>
      <c r="H58" s="87" t="s">
        <v>230</v>
      </c>
      <c r="I58" s="391" t="s">
        <v>12</v>
      </c>
      <c r="J58" s="390" t="s">
        <v>12</v>
      </c>
      <c r="K58" s="117" t="s">
        <v>230</v>
      </c>
      <c r="L58" s="405" t="s">
        <v>235</v>
      </c>
      <c r="M58" s="118" t="s">
        <v>12</v>
      </c>
      <c r="N58" s="392" t="s">
        <v>439</v>
      </c>
      <c r="O58" s="393" t="s">
        <v>12</v>
      </c>
      <c r="P58" s="88" t="s">
        <v>230</v>
      </c>
      <c r="Q58" s="394" t="s">
        <v>230</v>
      </c>
      <c r="R58" s="395" t="s">
        <v>230</v>
      </c>
      <c r="S58" s="396" t="s">
        <v>230</v>
      </c>
      <c r="T58" s="397" t="s">
        <v>230</v>
      </c>
      <c r="U58" s="396" t="s">
        <v>230</v>
      </c>
      <c r="V58" s="398">
        <v>44351</v>
      </c>
      <c r="W58" s="399" t="e">
        <f t="shared" si="1"/>
        <v>#REF!</v>
      </c>
      <c r="X58" s="400" t="s">
        <v>230</v>
      </c>
      <c r="Y58" s="401" t="s">
        <v>230</v>
      </c>
      <c r="Z58" s="402" t="s">
        <v>230</v>
      </c>
      <c r="AA58" s="401" t="s">
        <v>230</v>
      </c>
      <c r="AB58" s="403">
        <v>44351</v>
      </c>
      <c r="AC58" s="404"/>
    </row>
    <row r="59" spans="1:29" ht="49.5" customHeight="1" x14ac:dyDescent="0.25">
      <c r="A59" s="109">
        <f t="shared" si="0"/>
        <v>47</v>
      </c>
      <c r="B59" s="386" t="e">
        <f>#REF!</f>
        <v>#REF!</v>
      </c>
      <c r="C59" s="387" t="e">
        <f>#REF!</f>
        <v>#REF!</v>
      </c>
      <c r="D59" s="388" t="e">
        <f>#REF!</f>
        <v>#REF!</v>
      </c>
      <c r="E59" s="389" t="s">
        <v>438</v>
      </c>
      <c r="F59" s="390" t="s">
        <v>12</v>
      </c>
      <c r="G59" s="388" t="e">
        <f>#REF!</f>
        <v>#REF!</v>
      </c>
      <c r="H59" s="87" t="s">
        <v>129</v>
      </c>
      <c r="I59" s="391" t="s">
        <v>12</v>
      </c>
      <c r="J59" s="390" t="s">
        <v>12</v>
      </c>
      <c r="K59" s="117" t="s">
        <v>129</v>
      </c>
      <c r="L59" s="405" t="s">
        <v>236</v>
      </c>
      <c r="M59" s="118" t="s">
        <v>12</v>
      </c>
      <c r="N59" s="392" t="s">
        <v>440</v>
      </c>
      <c r="O59" s="393" t="s">
        <v>12</v>
      </c>
      <c r="P59" s="88" t="s">
        <v>129</v>
      </c>
      <c r="Q59" s="394" t="s">
        <v>129</v>
      </c>
      <c r="R59" s="395" t="s">
        <v>129</v>
      </c>
      <c r="S59" s="396" t="s">
        <v>129</v>
      </c>
      <c r="T59" s="397" t="s">
        <v>129</v>
      </c>
      <c r="U59" s="396" t="s">
        <v>129</v>
      </c>
      <c r="V59" s="398">
        <v>44379</v>
      </c>
      <c r="W59" s="399" t="e">
        <f t="shared" si="1"/>
        <v>#REF!</v>
      </c>
      <c r="X59" s="400" t="s">
        <v>129</v>
      </c>
      <c r="Y59" s="401" t="s">
        <v>129</v>
      </c>
      <c r="Z59" s="402" t="s">
        <v>129</v>
      </c>
      <c r="AA59" s="401" t="s">
        <v>129</v>
      </c>
      <c r="AB59" s="403">
        <v>44379</v>
      </c>
      <c r="AC59" s="404"/>
    </row>
    <row r="60" spans="1:29" ht="49.5" customHeight="1" x14ac:dyDescent="0.25">
      <c r="A60" s="109">
        <f t="shared" si="0"/>
        <v>48</v>
      </c>
      <c r="B60" s="386" t="e">
        <f>#REF!</f>
        <v>#REF!</v>
      </c>
      <c r="C60" s="387" t="e">
        <f>#REF!</f>
        <v>#REF!</v>
      </c>
      <c r="D60" s="388" t="e">
        <f>#REF!</f>
        <v>#REF!</v>
      </c>
      <c r="E60" s="389" t="s">
        <v>346</v>
      </c>
      <c r="F60" s="390" t="s">
        <v>12</v>
      </c>
      <c r="G60" s="388" t="e">
        <f>#REF!</f>
        <v>#REF!</v>
      </c>
      <c r="H60" s="87" t="s">
        <v>230</v>
      </c>
      <c r="I60" s="391" t="s">
        <v>12</v>
      </c>
      <c r="J60" s="390" t="s">
        <v>12</v>
      </c>
      <c r="K60" s="117" t="s">
        <v>230</v>
      </c>
      <c r="L60" s="405" t="s">
        <v>237</v>
      </c>
      <c r="M60" s="118" t="s">
        <v>12</v>
      </c>
      <c r="N60" s="392" t="s">
        <v>429</v>
      </c>
      <c r="O60" s="393" t="s">
        <v>12</v>
      </c>
      <c r="P60" s="88" t="s">
        <v>230</v>
      </c>
      <c r="Q60" s="394" t="s">
        <v>230</v>
      </c>
      <c r="R60" s="395" t="s">
        <v>230</v>
      </c>
      <c r="S60" s="396" t="s">
        <v>230</v>
      </c>
      <c r="T60" s="397" t="s">
        <v>230</v>
      </c>
      <c r="U60" s="396" t="s">
        <v>230</v>
      </c>
      <c r="V60" s="398">
        <v>44412</v>
      </c>
      <c r="W60" s="399" t="e">
        <f t="shared" si="1"/>
        <v>#REF!</v>
      </c>
      <c r="X60" s="400" t="s">
        <v>230</v>
      </c>
      <c r="Y60" s="401" t="s">
        <v>230</v>
      </c>
      <c r="Z60" s="402" t="s">
        <v>230</v>
      </c>
      <c r="AA60" s="401" t="s">
        <v>230</v>
      </c>
      <c r="AB60" s="403">
        <v>44412</v>
      </c>
      <c r="AC60" s="404"/>
    </row>
    <row r="61" spans="1:29" ht="49.5" customHeight="1" x14ac:dyDescent="0.25">
      <c r="A61" s="109">
        <f t="shared" si="0"/>
        <v>49</v>
      </c>
      <c r="B61" s="386" t="e">
        <f>#REF!</f>
        <v>#REF!</v>
      </c>
      <c r="C61" s="387" t="e">
        <f>#REF!</f>
        <v>#REF!</v>
      </c>
      <c r="D61" s="388" t="e">
        <f>#REF!</f>
        <v>#REF!</v>
      </c>
      <c r="E61" s="389" t="s">
        <v>428</v>
      </c>
      <c r="F61" s="390" t="s">
        <v>12</v>
      </c>
      <c r="G61" s="388" t="e">
        <f>#REF!</f>
        <v>#REF!</v>
      </c>
      <c r="H61" s="87" t="s">
        <v>129</v>
      </c>
      <c r="I61" s="391" t="s">
        <v>12</v>
      </c>
      <c r="J61" s="390" t="s">
        <v>12</v>
      </c>
      <c r="K61" s="117" t="s">
        <v>129</v>
      </c>
      <c r="L61" s="405" t="s">
        <v>238</v>
      </c>
      <c r="M61" s="118" t="s">
        <v>12</v>
      </c>
      <c r="N61" s="392" t="s">
        <v>431</v>
      </c>
      <c r="O61" s="393" t="s">
        <v>12</v>
      </c>
      <c r="P61" s="88" t="s">
        <v>129</v>
      </c>
      <c r="Q61" s="394" t="s">
        <v>129</v>
      </c>
      <c r="R61" s="395" t="s">
        <v>129</v>
      </c>
      <c r="S61" s="396" t="s">
        <v>129</v>
      </c>
      <c r="T61" s="397" t="s">
        <v>129</v>
      </c>
      <c r="U61" s="396" t="s">
        <v>129</v>
      </c>
      <c r="V61" s="398">
        <v>44076</v>
      </c>
      <c r="W61" s="399" t="e">
        <f t="shared" si="1"/>
        <v>#REF!</v>
      </c>
      <c r="X61" s="400" t="s">
        <v>129</v>
      </c>
      <c r="Y61" s="401" t="s">
        <v>129</v>
      </c>
      <c r="Z61" s="402" t="s">
        <v>129</v>
      </c>
      <c r="AA61" s="401" t="s">
        <v>129</v>
      </c>
      <c r="AB61" s="403">
        <v>44076</v>
      </c>
      <c r="AC61" s="404"/>
    </row>
    <row r="62" spans="1:29" ht="49.5" customHeight="1" x14ac:dyDescent="0.25">
      <c r="A62" s="109">
        <f t="shared" si="0"/>
        <v>50</v>
      </c>
      <c r="B62" s="386" t="e">
        <f>#REF!</f>
        <v>#REF!</v>
      </c>
      <c r="C62" s="387" t="e">
        <f>#REF!</f>
        <v>#REF!</v>
      </c>
      <c r="D62" s="388" t="e">
        <f>#REF!</f>
        <v>#REF!</v>
      </c>
      <c r="E62" s="389" t="s">
        <v>430</v>
      </c>
      <c r="F62" s="390" t="s">
        <v>12</v>
      </c>
      <c r="G62" s="388" t="e">
        <f>#REF!</f>
        <v>#REF!</v>
      </c>
      <c r="H62" s="87" t="s">
        <v>230</v>
      </c>
      <c r="I62" s="391" t="s">
        <v>12</v>
      </c>
      <c r="J62" s="390" t="s">
        <v>12</v>
      </c>
      <c r="K62" s="117" t="s">
        <v>230</v>
      </c>
      <c r="L62" s="405" t="s">
        <v>229</v>
      </c>
      <c r="M62" s="118" t="s">
        <v>12</v>
      </c>
      <c r="N62" s="392" t="s">
        <v>433</v>
      </c>
      <c r="O62" s="393" t="s">
        <v>12</v>
      </c>
      <c r="P62" s="88" t="s">
        <v>230</v>
      </c>
      <c r="Q62" s="394" t="s">
        <v>230</v>
      </c>
      <c r="R62" s="395" t="s">
        <v>230</v>
      </c>
      <c r="S62" s="396" t="s">
        <v>230</v>
      </c>
      <c r="T62" s="397" t="s">
        <v>230</v>
      </c>
      <c r="U62" s="396" t="s">
        <v>230</v>
      </c>
      <c r="V62" s="398">
        <v>44139</v>
      </c>
      <c r="W62" s="399" t="e">
        <f t="shared" si="1"/>
        <v>#REF!</v>
      </c>
      <c r="X62" s="400" t="s">
        <v>230</v>
      </c>
      <c r="Y62" s="401" t="s">
        <v>230</v>
      </c>
      <c r="Z62" s="402" t="s">
        <v>230</v>
      </c>
      <c r="AA62" s="401" t="s">
        <v>230</v>
      </c>
      <c r="AB62" s="403">
        <v>44139</v>
      </c>
      <c r="AC62" s="404"/>
    </row>
    <row r="63" spans="1:29" ht="15.75" customHeight="1" x14ac:dyDescent="0.25">
      <c r="A63" s="122"/>
    </row>
    <row r="64" spans="1:29"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c r="A69" s="122"/>
    </row>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A11:L11"/>
    <mergeCell ref="R11:W11"/>
    <mergeCell ref="X11:AC11"/>
    <mergeCell ref="A6:D6"/>
    <mergeCell ref="A7:D7"/>
    <mergeCell ref="E7:G7"/>
    <mergeCell ref="H7:I7"/>
    <mergeCell ref="J7:L7"/>
    <mergeCell ref="A8:D9"/>
    <mergeCell ref="E8:G9"/>
    <mergeCell ref="H8:I8"/>
    <mergeCell ref="J8:L8"/>
    <mergeCell ref="H9:I9"/>
    <mergeCell ref="J9:L9"/>
    <mergeCell ref="A10:D10"/>
    <mergeCell ref="E10:F10"/>
    <mergeCell ref="H10:I10"/>
    <mergeCell ref="J10:L10"/>
    <mergeCell ref="A2:L2"/>
    <mergeCell ref="A3:L3"/>
    <mergeCell ref="A4:L4"/>
    <mergeCell ref="A5:L5"/>
    <mergeCell ref="E6:G6"/>
    <mergeCell ref="H6:I6"/>
    <mergeCell ref="J6:L6"/>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F00-000000000000}">
          <x14:formula1>
            <xm:f>'Pick List '!$A$98:$A$104</xm:f>
          </x14:formula1>
          <xm:sqref>E13:E62</xm:sqref>
        </x14:dataValidation>
        <x14:dataValidation type="list" allowBlank="1" showErrorMessage="1" xr:uid="{00000000-0002-0000-0F00-000001000000}">
          <x14:formula1>
            <xm:f>'Pick List '!$K$124:$K$130</xm:f>
          </x14:formula1>
          <xm:sqref>N13:N62</xm:sqref>
        </x14:dataValidation>
        <x14:dataValidation type="list" allowBlank="1" showErrorMessage="1" xr:uid="{00000000-0002-0000-0F00-000002000000}">
          <x14:formula1>
            <xm:f>'Pick List '!$K$106:$K$114</xm:f>
          </x14:formula1>
          <xm:sqref>L13:L62</xm:sqref>
        </x14:dataValidation>
        <x14:dataValidation type="list" allowBlank="1" showErrorMessage="1" xr:uid="{00000000-0002-0000-0F00-000003000000}">
          <x14:formula1>
            <xm:f>'Pick List '!$G$15:$G$16</xm:f>
          </x14:formula1>
          <xm:sqref>H13:H62 K13:K62 P13:U62 X13:AA62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33C0B"/>
  </sheetPr>
  <dimension ref="A1:U1000"/>
  <sheetViews>
    <sheetView workbookViewId="0"/>
  </sheetViews>
  <sheetFormatPr defaultColWidth="14.42578125" defaultRowHeight="15" customHeight="1" x14ac:dyDescent="0.25"/>
  <cols>
    <col min="1" max="1" width="8.7109375" customWidth="1"/>
    <col min="2" max="20" width="10.7109375" customWidth="1"/>
    <col min="21" max="21" width="40.42578125" customWidth="1"/>
    <col min="22" max="26" width="8.7109375" customWidth="1"/>
  </cols>
  <sheetData>
    <row r="1" spans="1:21" ht="60" x14ac:dyDescent="0.25">
      <c r="A1" s="74" t="s">
        <v>27</v>
      </c>
      <c r="B1" s="339" t="s">
        <v>388</v>
      </c>
      <c r="C1" s="67" t="s">
        <v>389</v>
      </c>
      <c r="D1" s="67" t="s">
        <v>391</v>
      </c>
      <c r="E1" s="406" t="s">
        <v>441</v>
      </c>
      <c r="F1" s="407" t="s">
        <v>442</v>
      </c>
      <c r="G1" s="408" t="s">
        <v>443</v>
      </c>
      <c r="H1" s="409" t="s">
        <v>444</v>
      </c>
      <c r="I1" s="410" t="s">
        <v>445</v>
      </c>
      <c r="J1" s="409" t="s">
        <v>446</v>
      </c>
      <c r="K1" s="410" t="s">
        <v>447</v>
      </c>
      <c r="L1" s="409" t="s">
        <v>448</v>
      </c>
      <c r="M1" s="387" t="s">
        <v>449</v>
      </c>
      <c r="N1" s="411" t="s">
        <v>450</v>
      </c>
      <c r="O1" s="412" t="s">
        <v>451</v>
      </c>
      <c r="P1" s="413" t="s">
        <v>452</v>
      </c>
      <c r="Q1" s="414" t="s">
        <v>453</v>
      </c>
      <c r="R1" s="413" t="s">
        <v>454</v>
      </c>
      <c r="S1" s="414" t="s">
        <v>455</v>
      </c>
      <c r="T1" s="413" t="s">
        <v>456</v>
      </c>
      <c r="U1" s="415" t="s">
        <v>340</v>
      </c>
    </row>
    <row r="2" spans="1:21" ht="15.75" x14ac:dyDescent="0.25">
      <c r="A2" s="785" t="str">
        <f>'BASE GRANTEE INFO &amp; UPDATES'!A1</f>
        <v>WV Bureau For Behavioral Health - Harm Reduction 2025</v>
      </c>
      <c r="B2" s="705"/>
      <c r="C2" s="705"/>
      <c r="D2" s="705"/>
      <c r="E2" s="705"/>
      <c r="F2" s="705"/>
      <c r="G2" s="705"/>
      <c r="H2" s="705"/>
      <c r="I2" s="705"/>
      <c r="J2" s="705"/>
      <c r="K2" s="705"/>
      <c r="L2" s="705"/>
      <c r="M2" s="705"/>
      <c r="N2" s="705"/>
      <c r="O2" s="705"/>
      <c r="P2" s="705"/>
      <c r="Q2" s="833"/>
      <c r="R2" s="164"/>
      <c r="S2" s="164"/>
      <c r="T2" s="164"/>
      <c r="U2" s="164"/>
    </row>
    <row r="3" spans="1:21" ht="15.75" x14ac:dyDescent="0.25">
      <c r="A3" s="786">
        <f>'BASE GRANTEE INFO &amp; UPDATES'!A2</f>
        <v>0</v>
      </c>
      <c r="B3" s="708"/>
      <c r="C3" s="708"/>
      <c r="D3" s="708"/>
      <c r="E3" s="708"/>
      <c r="F3" s="708"/>
      <c r="G3" s="708"/>
      <c r="H3" s="708"/>
      <c r="I3" s="708"/>
      <c r="J3" s="708"/>
      <c r="K3" s="708"/>
      <c r="L3" s="708"/>
      <c r="M3" s="708"/>
      <c r="N3" s="708"/>
      <c r="O3" s="708"/>
      <c r="P3" s="708"/>
      <c r="Q3" s="709"/>
      <c r="R3" s="164"/>
      <c r="S3" s="164"/>
      <c r="T3" s="164"/>
      <c r="U3" s="164"/>
    </row>
    <row r="4" spans="1:21" ht="15.75" x14ac:dyDescent="0.25">
      <c r="A4" s="787" t="str">
        <f>'BASE GRANTEE INFO &amp; UPDATES'!A3</f>
        <v xml:space="preserve">Program reports need to be submitted electronically, via e-mail to BBHReporting@wv.gov  within 25 calendar days of the end of each month </v>
      </c>
      <c r="B4" s="708"/>
      <c r="C4" s="708"/>
      <c r="D4" s="708"/>
      <c r="E4" s="708"/>
      <c r="F4" s="708"/>
      <c r="G4" s="708"/>
      <c r="H4" s="708"/>
      <c r="I4" s="708"/>
      <c r="J4" s="708"/>
      <c r="K4" s="708"/>
      <c r="L4" s="708"/>
      <c r="M4" s="708"/>
      <c r="N4" s="708"/>
      <c r="O4" s="708"/>
      <c r="P4" s="708"/>
      <c r="Q4" s="709"/>
      <c r="R4" s="164"/>
      <c r="S4" s="164"/>
      <c r="T4" s="164"/>
      <c r="U4" s="164"/>
    </row>
    <row r="5" spans="1:21" ht="18.75" x14ac:dyDescent="0.25">
      <c r="A5" s="835" t="s">
        <v>276</v>
      </c>
      <c r="B5" s="708"/>
      <c r="C5" s="708"/>
      <c r="D5" s="708"/>
      <c r="E5" s="708"/>
      <c r="F5" s="708"/>
      <c r="G5" s="708"/>
      <c r="H5" s="708"/>
      <c r="I5" s="708"/>
      <c r="J5" s="708"/>
      <c r="K5" s="708"/>
      <c r="L5" s="708"/>
      <c r="M5" s="708"/>
      <c r="N5" s="708"/>
      <c r="O5" s="708"/>
      <c r="P5" s="708"/>
      <c r="Q5" s="709"/>
      <c r="R5" s="164"/>
      <c r="S5" s="164"/>
      <c r="T5" s="164"/>
      <c r="U5" s="164"/>
    </row>
    <row r="6" spans="1:21" x14ac:dyDescent="0.25">
      <c r="A6" s="790" t="s">
        <v>457</v>
      </c>
      <c r="B6" s="698"/>
      <c r="C6" s="698"/>
      <c r="D6" s="699"/>
      <c r="E6" s="794" t="str">
        <f>'BASE GRANTEE INFO &amp; UPDATES'!E5</f>
        <v>Harm Reduction Program</v>
      </c>
      <c r="F6" s="698"/>
      <c r="G6" s="698"/>
      <c r="H6" s="699"/>
      <c r="I6" s="795" t="s">
        <v>0</v>
      </c>
      <c r="J6" s="698"/>
      <c r="K6" s="698"/>
      <c r="L6" s="699"/>
      <c r="M6" s="796">
        <f>'BASE GRANTEE INFO &amp; UPDATES'!M5</f>
        <v>0</v>
      </c>
      <c r="N6" s="698"/>
      <c r="O6" s="698"/>
      <c r="P6" s="698"/>
      <c r="Q6" s="699"/>
      <c r="R6" s="164"/>
      <c r="S6" s="164"/>
      <c r="T6" s="164"/>
      <c r="U6" s="164"/>
    </row>
    <row r="7" spans="1:21" x14ac:dyDescent="0.25">
      <c r="A7" s="790" t="s">
        <v>458</v>
      </c>
      <c r="B7" s="698"/>
      <c r="C7" s="698"/>
      <c r="D7" s="699"/>
      <c r="E7" s="797">
        <f>'BASE GRANTEE INFO &amp; UPDATES'!E6</f>
        <v>0</v>
      </c>
      <c r="F7" s="698"/>
      <c r="G7" s="698"/>
      <c r="H7" s="699"/>
      <c r="I7" s="795" t="s">
        <v>1</v>
      </c>
      <c r="J7" s="698"/>
      <c r="K7" s="698"/>
      <c r="L7" s="699"/>
      <c r="M7" s="796">
        <f>'BASE GRANTEE INFO &amp; UPDATES'!M6</f>
        <v>0</v>
      </c>
      <c r="N7" s="698"/>
      <c r="O7" s="698"/>
      <c r="P7" s="698"/>
      <c r="Q7" s="699"/>
      <c r="R7" s="164"/>
      <c r="S7" s="164"/>
      <c r="T7" s="164"/>
      <c r="U7" s="164"/>
    </row>
    <row r="8" spans="1:21" x14ac:dyDescent="0.25">
      <c r="A8" s="789" t="s">
        <v>2</v>
      </c>
      <c r="B8" s="766"/>
      <c r="C8" s="766"/>
      <c r="D8" s="767"/>
      <c r="E8" s="798">
        <f>'BASE GRANTEE INFO &amp; UPDATES'!E7</f>
        <v>0</v>
      </c>
      <c r="F8" s="766"/>
      <c r="G8" s="766"/>
      <c r="H8" s="767"/>
      <c r="I8" s="795" t="s">
        <v>3</v>
      </c>
      <c r="J8" s="698"/>
      <c r="K8" s="698"/>
      <c r="L8" s="699"/>
      <c r="M8" s="796">
        <f>'BASE GRANTEE INFO &amp; UPDATES'!M7</f>
        <v>0</v>
      </c>
      <c r="N8" s="698"/>
      <c r="O8" s="698"/>
      <c r="P8" s="698"/>
      <c r="Q8" s="699"/>
      <c r="R8" s="164"/>
      <c r="S8" s="164"/>
      <c r="T8" s="164"/>
      <c r="U8" s="164"/>
    </row>
    <row r="9" spans="1:21" x14ac:dyDescent="0.25">
      <c r="A9" s="768"/>
      <c r="B9" s="769"/>
      <c r="C9" s="769"/>
      <c r="D9" s="770"/>
      <c r="E9" s="768"/>
      <c r="F9" s="769"/>
      <c r="G9" s="769"/>
      <c r="H9" s="770"/>
      <c r="I9" s="792" t="s">
        <v>459</v>
      </c>
      <c r="J9" s="698"/>
      <c r="K9" s="698"/>
      <c r="L9" s="699"/>
      <c r="M9" s="796">
        <f>'BASE GRANTEE INFO &amp; UPDATES'!M8</f>
        <v>0</v>
      </c>
      <c r="N9" s="698"/>
      <c r="O9" s="698"/>
      <c r="P9" s="698"/>
      <c r="Q9" s="699"/>
      <c r="R9" s="164"/>
      <c r="S9" s="164"/>
      <c r="T9" s="164"/>
      <c r="U9" s="164"/>
    </row>
    <row r="10" spans="1:21" x14ac:dyDescent="0.25">
      <c r="A10" s="790" t="s">
        <v>460</v>
      </c>
      <c r="B10" s="698"/>
      <c r="C10" s="698"/>
      <c r="D10" s="699"/>
      <c r="E10" s="791">
        <f>'BASE GRANTEE INFO &amp; UPDATES'!G9</f>
        <v>2024</v>
      </c>
      <c r="F10" s="699"/>
      <c r="G10" s="791">
        <f>'BASE GRANTEE INFO &amp; UPDATES'!G9</f>
        <v>2024</v>
      </c>
      <c r="H10" s="699"/>
      <c r="I10" s="792" t="s">
        <v>461</v>
      </c>
      <c r="J10" s="698"/>
      <c r="K10" s="698"/>
      <c r="L10" s="699"/>
      <c r="M10" s="796">
        <f>'BASE GRANTEE INFO &amp; UPDATES'!M9</f>
        <v>0</v>
      </c>
      <c r="N10" s="698"/>
      <c r="O10" s="698"/>
      <c r="P10" s="698"/>
      <c r="Q10" s="699"/>
      <c r="R10" s="164"/>
      <c r="S10" s="164"/>
      <c r="T10" s="164"/>
      <c r="U10" s="164"/>
    </row>
    <row r="11" spans="1:21" ht="18.75" x14ac:dyDescent="0.25">
      <c r="A11" s="835" t="s">
        <v>462</v>
      </c>
      <c r="B11" s="708"/>
      <c r="C11" s="708"/>
      <c r="D11" s="708"/>
      <c r="E11" s="708"/>
      <c r="F11" s="708"/>
      <c r="G11" s="708"/>
      <c r="H11" s="708"/>
      <c r="I11" s="708"/>
      <c r="J11" s="708"/>
      <c r="K11" s="708"/>
      <c r="L11" s="708"/>
      <c r="M11" s="708"/>
      <c r="N11" s="708"/>
      <c r="O11" s="708"/>
      <c r="P11" s="708"/>
      <c r="Q11" s="709"/>
      <c r="R11" s="164"/>
      <c r="S11" s="164"/>
      <c r="T11" s="164"/>
      <c r="U11" s="164"/>
    </row>
    <row r="12" spans="1:21" ht="18.75" customHeight="1" x14ac:dyDescent="0.25">
      <c r="A12" s="416" t="s">
        <v>27</v>
      </c>
      <c r="B12" s="867" t="s">
        <v>463</v>
      </c>
      <c r="C12" s="698"/>
      <c r="D12" s="714"/>
      <c r="E12" s="865" t="s">
        <v>464</v>
      </c>
      <c r="F12" s="711"/>
      <c r="G12" s="711"/>
      <c r="H12" s="711"/>
      <c r="I12" s="711"/>
      <c r="J12" s="711"/>
      <c r="K12" s="711"/>
      <c r="L12" s="757"/>
      <c r="M12" s="866" t="s">
        <v>465</v>
      </c>
      <c r="N12" s="711"/>
      <c r="O12" s="711"/>
      <c r="P12" s="711"/>
      <c r="Q12" s="711"/>
      <c r="R12" s="711"/>
      <c r="S12" s="711"/>
      <c r="T12" s="757"/>
      <c r="U12" s="417" t="s">
        <v>340</v>
      </c>
    </row>
    <row r="13" spans="1:21" ht="45" customHeight="1" x14ac:dyDescent="0.25">
      <c r="A13" s="74" t="s">
        <v>27</v>
      </c>
      <c r="B13" s="339" t="s">
        <v>388</v>
      </c>
      <c r="C13" s="67" t="s">
        <v>389</v>
      </c>
      <c r="D13" s="67" t="s">
        <v>391</v>
      </c>
      <c r="E13" s="406" t="s">
        <v>466</v>
      </c>
      <c r="F13" s="407" t="s">
        <v>467</v>
      </c>
      <c r="G13" s="408" t="s">
        <v>468</v>
      </c>
      <c r="H13" s="409" t="s">
        <v>469</v>
      </c>
      <c r="I13" s="410" t="s">
        <v>470</v>
      </c>
      <c r="J13" s="409" t="s">
        <v>471</v>
      </c>
      <c r="K13" s="410" t="s">
        <v>472</v>
      </c>
      <c r="L13" s="409" t="s">
        <v>473</v>
      </c>
      <c r="M13" s="387" t="s">
        <v>474</v>
      </c>
      <c r="N13" s="411" t="s">
        <v>475</v>
      </c>
      <c r="O13" s="412" t="s">
        <v>476</v>
      </c>
      <c r="P13" s="413" t="s">
        <v>477</v>
      </c>
      <c r="Q13" s="414" t="s">
        <v>478</v>
      </c>
      <c r="R13" s="413" t="s">
        <v>479</v>
      </c>
      <c r="S13" s="414" t="s">
        <v>480</v>
      </c>
      <c r="T13" s="413" t="s">
        <v>481</v>
      </c>
      <c r="U13" s="415" t="s">
        <v>340</v>
      </c>
    </row>
    <row r="14" spans="1:21" ht="39.75" customHeight="1" x14ac:dyDescent="0.25">
      <c r="A14" s="418">
        <f t="shared" ref="A14:A63" si="0">ROW(A1)</f>
        <v>1</v>
      </c>
      <c r="B14" s="343">
        <v>1</v>
      </c>
      <c r="C14" s="76" t="s">
        <v>395</v>
      </c>
      <c r="D14" s="77">
        <v>44077</v>
      </c>
      <c r="E14" s="419" t="s">
        <v>482</v>
      </c>
      <c r="F14" s="409"/>
      <c r="G14" s="420"/>
      <c r="H14" s="409"/>
      <c r="I14" s="421"/>
      <c r="J14" s="409"/>
      <c r="K14" s="421"/>
      <c r="L14" s="409"/>
      <c r="M14" s="422" t="s">
        <v>482</v>
      </c>
      <c r="N14" s="423"/>
      <c r="O14" s="424"/>
      <c r="P14" s="423"/>
      <c r="Q14" s="413"/>
      <c r="R14" s="423"/>
      <c r="S14" s="413"/>
      <c r="T14" s="423"/>
      <c r="U14" s="425"/>
    </row>
    <row r="15" spans="1:21" ht="39.75" customHeight="1" x14ac:dyDescent="0.25">
      <c r="A15" s="418">
        <f t="shared" si="0"/>
        <v>2</v>
      </c>
      <c r="B15" s="343">
        <v>2</v>
      </c>
      <c r="C15" s="83" t="s">
        <v>395</v>
      </c>
      <c r="D15" s="77">
        <v>44107</v>
      </c>
      <c r="E15" s="419" t="s">
        <v>482</v>
      </c>
      <c r="F15" s="421"/>
      <c r="G15" s="426"/>
      <c r="H15" s="421"/>
      <c r="I15" s="410"/>
      <c r="J15" s="421"/>
      <c r="K15" s="410"/>
      <c r="L15" s="421"/>
      <c r="M15" s="427" t="s">
        <v>482</v>
      </c>
      <c r="N15" s="413"/>
      <c r="O15" s="428"/>
      <c r="P15" s="413"/>
      <c r="Q15" s="414"/>
      <c r="R15" s="413"/>
      <c r="S15" s="414"/>
      <c r="T15" s="413"/>
      <c r="U15" s="429"/>
    </row>
    <row r="16" spans="1:21" ht="39.75" customHeight="1" x14ac:dyDescent="0.25">
      <c r="A16" s="418">
        <f t="shared" si="0"/>
        <v>3</v>
      </c>
      <c r="B16" s="343">
        <v>3</v>
      </c>
      <c r="C16" s="83" t="s">
        <v>395</v>
      </c>
      <c r="D16" s="77">
        <v>44137</v>
      </c>
      <c r="E16" s="419" t="s">
        <v>482</v>
      </c>
      <c r="F16" s="409"/>
      <c r="G16" s="420"/>
      <c r="H16" s="409"/>
      <c r="I16" s="421"/>
      <c r="J16" s="409"/>
      <c r="K16" s="421"/>
      <c r="L16" s="409"/>
      <c r="M16" s="422" t="s">
        <v>482</v>
      </c>
      <c r="N16" s="423"/>
      <c r="O16" s="424"/>
      <c r="P16" s="423"/>
      <c r="Q16" s="413"/>
      <c r="R16" s="423"/>
      <c r="S16" s="413"/>
      <c r="T16" s="423"/>
      <c r="U16" s="425"/>
    </row>
    <row r="17" spans="1:21" ht="39.75" customHeight="1" x14ac:dyDescent="0.25">
      <c r="A17" s="418">
        <f t="shared" si="0"/>
        <v>4</v>
      </c>
      <c r="B17" s="343">
        <v>4</v>
      </c>
      <c r="C17" s="83" t="s">
        <v>395</v>
      </c>
      <c r="D17" s="77">
        <v>44170</v>
      </c>
      <c r="E17" s="430" t="s">
        <v>482</v>
      </c>
      <c r="F17" s="421"/>
      <c r="G17" s="426"/>
      <c r="H17" s="421"/>
      <c r="I17" s="410"/>
      <c r="J17" s="421"/>
      <c r="K17" s="410"/>
      <c r="L17" s="421"/>
      <c r="M17" s="427" t="s">
        <v>482</v>
      </c>
      <c r="N17" s="413"/>
      <c r="O17" s="428"/>
      <c r="P17" s="413"/>
      <c r="Q17" s="414"/>
      <c r="R17" s="413"/>
      <c r="S17" s="414"/>
      <c r="T17" s="413"/>
      <c r="U17" s="429"/>
    </row>
    <row r="18" spans="1:21" ht="39.75" customHeight="1" x14ac:dyDescent="0.25">
      <c r="A18" s="418">
        <f t="shared" si="0"/>
        <v>5</v>
      </c>
      <c r="B18" s="343">
        <v>5</v>
      </c>
      <c r="C18" s="83" t="s">
        <v>395</v>
      </c>
      <c r="D18" s="77">
        <v>44201</v>
      </c>
      <c r="E18" s="419" t="s">
        <v>482</v>
      </c>
      <c r="F18" s="409"/>
      <c r="G18" s="420"/>
      <c r="H18" s="409"/>
      <c r="I18" s="421"/>
      <c r="J18" s="409"/>
      <c r="K18" s="421"/>
      <c r="L18" s="409"/>
      <c r="M18" s="422" t="s">
        <v>482</v>
      </c>
      <c r="N18" s="423"/>
      <c r="O18" s="424"/>
      <c r="P18" s="423"/>
      <c r="Q18" s="413"/>
      <c r="R18" s="423"/>
      <c r="S18" s="413"/>
      <c r="T18" s="423"/>
      <c r="U18" s="425"/>
    </row>
    <row r="19" spans="1:21" ht="39.75" customHeight="1" x14ac:dyDescent="0.25">
      <c r="A19" s="418">
        <f t="shared" si="0"/>
        <v>6</v>
      </c>
      <c r="B19" s="343">
        <v>6</v>
      </c>
      <c r="C19" s="83" t="s">
        <v>395</v>
      </c>
      <c r="D19" s="77">
        <v>44230</v>
      </c>
      <c r="E19" s="430" t="s">
        <v>482</v>
      </c>
      <c r="F19" s="421"/>
      <c r="G19" s="426"/>
      <c r="H19" s="421"/>
      <c r="I19" s="410"/>
      <c r="J19" s="421"/>
      <c r="K19" s="410"/>
      <c r="L19" s="421"/>
      <c r="M19" s="427" t="s">
        <v>482</v>
      </c>
      <c r="N19" s="413"/>
      <c r="O19" s="428"/>
      <c r="P19" s="413"/>
      <c r="Q19" s="414"/>
      <c r="R19" s="413"/>
      <c r="S19" s="414"/>
      <c r="T19" s="413"/>
      <c r="U19" s="429"/>
    </row>
    <row r="20" spans="1:21" ht="39.75" customHeight="1" x14ac:dyDescent="0.25">
      <c r="A20" s="418">
        <f t="shared" si="0"/>
        <v>7</v>
      </c>
      <c r="B20" s="343">
        <v>7</v>
      </c>
      <c r="C20" s="83" t="s">
        <v>395</v>
      </c>
      <c r="D20" s="77">
        <v>44259</v>
      </c>
      <c r="E20" s="419" t="s">
        <v>482</v>
      </c>
      <c r="F20" s="409"/>
      <c r="G20" s="420"/>
      <c r="H20" s="409"/>
      <c r="I20" s="421"/>
      <c r="J20" s="409"/>
      <c r="K20" s="421"/>
      <c r="L20" s="409"/>
      <c r="M20" s="422" t="s">
        <v>482</v>
      </c>
      <c r="N20" s="423"/>
      <c r="O20" s="424"/>
      <c r="P20" s="423"/>
      <c r="Q20" s="413"/>
      <c r="R20" s="423"/>
      <c r="S20" s="413"/>
      <c r="T20" s="423"/>
      <c r="U20" s="425"/>
    </row>
    <row r="21" spans="1:21" ht="39.75" customHeight="1" x14ac:dyDescent="0.25">
      <c r="A21" s="418">
        <f t="shared" si="0"/>
        <v>8</v>
      </c>
      <c r="B21" s="343">
        <v>8</v>
      </c>
      <c r="C21" s="83" t="s">
        <v>395</v>
      </c>
      <c r="D21" s="77">
        <v>44291</v>
      </c>
      <c r="E21" s="430" t="s">
        <v>482</v>
      </c>
      <c r="F21" s="421"/>
      <c r="G21" s="426"/>
      <c r="H21" s="421"/>
      <c r="I21" s="410"/>
      <c r="J21" s="421"/>
      <c r="K21" s="410"/>
      <c r="L21" s="421"/>
      <c r="M21" s="427" t="s">
        <v>482</v>
      </c>
      <c r="N21" s="413"/>
      <c r="O21" s="428"/>
      <c r="P21" s="413"/>
      <c r="Q21" s="414"/>
      <c r="R21" s="413"/>
      <c r="S21" s="414"/>
      <c r="T21" s="413"/>
      <c r="U21" s="429"/>
    </row>
    <row r="22" spans="1:21" ht="39.75" customHeight="1" x14ac:dyDescent="0.25">
      <c r="A22" s="418">
        <f t="shared" si="0"/>
        <v>9</v>
      </c>
      <c r="B22" s="343">
        <v>9</v>
      </c>
      <c r="C22" s="83" t="s">
        <v>395</v>
      </c>
      <c r="D22" s="77">
        <v>44319</v>
      </c>
      <c r="E22" s="419" t="s">
        <v>482</v>
      </c>
      <c r="F22" s="409"/>
      <c r="G22" s="420"/>
      <c r="H22" s="409"/>
      <c r="I22" s="421"/>
      <c r="J22" s="409"/>
      <c r="K22" s="421"/>
      <c r="L22" s="409"/>
      <c r="M22" s="422" t="s">
        <v>482</v>
      </c>
      <c r="N22" s="423"/>
      <c r="O22" s="424"/>
      <c r="P22" s="423"/>
      <c r="Q22" s="413"/>
      <c r="R22" s="423"/>
      <c r="S22" s="413"/>
      <c r="T22" s="423"/>
      <c r="U22" s="425"/>
    </row>
    <row r="23" spans="1:21" ht="39.75" customHeight="1" x14ac:dyDescent="0.25">
      <c r="A23" s="418">
        <f t="shared" si="0"/>
        <v>10</v>
      </c>
      <c r="B23" s="343">
        <v>10</v>
      </c>
      <c r="C23" s="83" t="s">
        <v>395</v>
      </c>
      <c r="D23" s="77">
        <v>44351</v>
      </c>
      <c r="E23" s="430" t="s">
        <v>482</v>
      </c>
      <c r="F23" s="421"/>
      <c r="G23" s="426"/>
      <c r="H23" s="421"/>
      <c r="I23" s="410"/>
      <c r="J23" s="421"/>
      <c r="K23" s="410"/>
      <c r="L23" s="421"/>
      <c r="M23" s="427" t="s">
        <v>482</v>
      </c>
      <c r="N23" s="413"/>
      <c r="O23" s="428"/>
      <c r="P23" s="413"/>
      <c r="Q23" s="414"/>
      <c r="R23" s="413"/>
      <c r="S23" s="414"/>
      <c r="T23" s="413"/>
      <c r="U23" s="429"/>
    </row>
    <row r="24" spans="1:21" ht="39.75" customHeight="1" x14ac:dyDescent="0.25">
      <c r="A24" s="418">
        <f t="shared" si="0"/>
        <v>11</v>
      </c>
      <c r="B24" s="343">
        <v>11</v>
      </c>
      <c r="C24" s="76" t="s">
        <v>395</v>
      </c>
      <c r="D24" s="77">
        <v>44379</v>
      </c>
      <c r="E24" s="419" t="s">
        <v>482</v>
      </c>
      <c r="F24" s="409"/>
      <c r="G24" s="420"/>
      <c r="H24" s="409"/>
      <c r="I24" s="421"/>
      <c r="J24" s="409"/>
      <c r="K24" s="421"/>
      <c r="L24" s="409"/>
      <c r="M24" s="422" t="s">
        <v>482</v>
      </c>
      <c r="N24" s="423"/>
      <c r="O24" s="424"/>
      <c r="P24" s="423"/>
      <c r="Q24" s="413"/>
      <c r="R24" s="423"/>
      <c r="S24" s="413"/>
      <c r="T24" s="423"/>
      <c r="U24" s="425"/>
    </row>
    <row r="25" spans="1:21" ht="39.75" customHeight="1" x14ac:dyDescent="0.25">
      <c r="A25" s="418">
        <f t="shared" si="0"/>
        <v>12</v>
      </c>
      <c r="B25" s="343">
        <v>12</v>
      </c>
      <c r="C25" s="83" t="s">
        <v>395</v>
      </c>
      <c r="D25" s="77">
        <v>44412</v>
      </c>
      <c r="E25" s="430" t="s">
        <v>482</v>
      </c>
      <c r="F25" s="421"/>
      <c r="G25" s="426"/>
      <c r="H25" s="421"/>
      <c r="I25" s="410"/>
      <c r="J25" s="421"/>
      <c r="K25" s="410"/>
      <c r="L25" s="421"/>
      <c r="M25" s="427" t="s">
        <v>482</v>
      </c>
      <c r="N25" s="413"/>
      <c r="O25" s="428"/>
      <c r="P25" s="413"/>
      <c r="Q25" s="414"/>
      <c r="R25" s="413"/>
      <c r="S25" s="414"/>
      <c r="T25" s="413"/>
      <c r="U25" s="429"/>
    </row>
    <row r="26" spans="1:21" ht="39.75" customHeight="1" x14ac:dyDescent="0.25">
      <c r="A26" s="418">
        <f t="shared" si="0"/>
        <v>13</v>
      </c>
      <c r="B26" s="343">
        <v>13</v>
      </c>
      <c r="C26" s="83" t="s">
        <v>395</v>
      </c>
      <c r="D26" s="77">
        <v>44077</v>
      </c>
      <c r="E26" s="419" t="s">
        <v>482</v>
      </c>
      <c r="F26" s="409"/>
      <c r="G26" s="420"/>
      <c r="H26" s="409"/>
      <c r="I26" s="421"/>
      <c r="J26" s="409"/>
      <c r="K26" s="421"/>
      <c r="L26" s="409"/>
      <c r="M26" s="422" t="s">
        <v>482</v>
      </c>
      <c r="N26" s="423"/>
      <c r="O26" s="424"/>
      <c r="P26" s="423"/>
      <c r="Q26" s="413"/>
      <c r="R26" s="423"/>
      <c r="S26" s="413"/>
      <c r="T26" s="423"/>
      <c r="U26" s="425"/>
    </row>
    <row r="27" spans="1:21" ht="39.75" customHeight="1" x14ac:dyDescent="0.25">
      <c r="A27" s="418">
        <f t="shared" si="0"/>
        <v>14</v>
      </c>
      <c r="B27" s="343">
        <v>14</v>
      </c>
      <c r="C27" s="83" t="s">
        <v>395</v>
      </c>
      <c r="D27" s="77">
        <v>44077</v>
      </c>
      <c r="E27" s="430" t="s">
        <v>482</v>
      </c>
      <c r="F27" s="421"/>
      <c r="G27" s="426"/>
      <c r="H27" s="421"/>
      <c r="I27" s="410"/>
      <c r="J27" s="421"/>
      <c r="K27" s="410"/>
      <c r="L27" s="421"/>
      <c r="M27" s="427" t="s">
        <v>482</v>
      </c>
      <c r="N27" s="413"/>
      <c r="O27" s="428"/>
      <c r="P27" s="413"/>
      <c r="Q27" s="414"/>
      <c r="R27" s="413"/>
      <c r="S27" s="414"/>
      <c r="T27" s="413"/>
      <c r="U27" s="429"/>
    </row>
    <row r="28" spans="1:21" ht="39.75" customHeight="1" x14ac:dyDescent="0.25">
      <c r="A28" s="418">
        <f t="shared" si="0"/>
        <v>15</v>
      </c>
      <c r="B28" s="343">
        <v>15</v>
      </c>
      <c r="C28" s="83" t="s">
        <v>395</v>
      </c>
      <c r="D28" s="77">
        <v>44137</v>
      </c>
      <c r="E28" s="419" t="s">
        <v>482</v>
      </c>
      <c r="F28" s="409"/>
      <c r="G28" s="420"/>
      <c r="H28" s="409"/>
      <c r="I28" s="421"/>
      <c r="J28" s="409"/>
      <c r="K28" s="421"/>
      <c r="L28" s="409"/>
      <c r="M28" s="422" t="s">
        <v>482</v>
      </c>
      <c r="N28" s="423"/>
      <c r="O28" s="424"/>
      <c r="P28" s="423"/>
      <c r="Q28" s="413"/>
      <c r="R28" s="423"/>
      <c r="S28" s="413"/>
      <c r="T28" s="423"/>
      <c r="U28" s="425"/>
    </row>
    <row r="29" spans="1:21" ht="39.75" customHeight="1" x14ac:dyDescent="0.25">
      <c r="A29" s="418">
        <f t="shared" si="0"/>
        <v>16</v>
      </c>
      <c r="B29" s="343">
        <v>16</v>
      </c>
      <c r="C29" s="83" t="s">
        <v>395</v>
      </c>
      <c r="D29" s="77">
        <v>44170</v>
      </c>
      <c r="E29" s="430" t="s">
        <v>482</v>
      </c>
      <c r="F29" s="421"/>
      <c r="G29" s="426"/>
      <c r="H29" s="421"/>
      <c r="I29" s="410"/>
      <c r="J29" s="421"/>
      <c r="K29" s="410"/>
      <c r="L29" s="421"/>
      <c r="M29" s="427" t="s">
        <v>482</v>
      </c>
      <c r="N29" s="413"/>
      <c r="O29" s="428"/>
      <c r="P29" s="413"/>
      <c r="Q29" s="414"/>
      <c r="R29" s="413"/>
      <c r="S29" s="414"/>
      <c r="T29" s="413"/>
      <c r="U29" s="429"/>
    </row>
    <row r="30" spans="1:21" ht="39.75" customHeight="1" x14ac:dyDescent="0.25">
      <c r="A30" s="418">
        <f t="shared" si="0"/>
        <v>17</v>
      </c>
      <c r="B30" s="343">
        <v>17</v>
      </c>
      <c r="C30" s="83" t="s">
        <v>395</v>
      </c>
      <c r="D30" s="77">
        <v>44201</v>
      </c>
      <c r="E30" s="419" t="s">
        <v>482</v>
      </c>
      <c r="F30" s="409"/>
      <c r="G30" s="420"/>
      <c r="H30" s="409"/>
      <c r="I30" s="421"/>
      <c r="J30" s="409"/>
      <c r="K30" s="421"/>
      <c r="L30" s="409"/>
      <c r="M30" s="422" t="s">
        <v>482</v>
      </c>
      <c r="N30" s="423"/>
      <c r="O30" s="424"/>
      <c r="P30" s="423"/>
      <c r="Q30" s="413"/>
      <c r="R30" s="423"/>
      <c r="S30" s="413"/>
      <c r="T30" s="423"/>
      <c r="U30" s="425"/>
    </row>
    <row r="31" spans="1:21" ht="39.75" customHeight="1" x14ac:dyDescent="0.25">
      <c r="A31" s="418">
        <f t="shared" si="0"/>
        <v>18</v>
      </c>
      <c r="B31" s="343">
        <v>18</v>
      </c>
      <c r="C31" s="83" t="s">
        <v>395</v>
      </c>
      <c r="D31" s="77">
        <v>44230</v>
      </c>
      <c r="E31" s="430" t="s">
        <v>482</v>
      </c>
      <c r="F31" s="421"/>
      <c r="G31" s="426"/>
      <c r="H31" s="421"/>
      <c r="I31" s="410"/>
      <c r="J31" s="421"/>
      <c r="K31" s="410"/>
      <c r="L31" s="421"/>
      <c r="M31" s="427" t="s">
        <v>482</v>
      </c>
      <c r="N31" s="413"/>
      <c r="O31" s="428"/>
      <c r="P31" s="413"/>
      <c r="Q31" s="414"/>
      <c r="R31" s="413"/>
      <c r="S31" s="414"/>
      <c r="T31" s="413"/>
      <c r="U31" s="429"/>
    </row>
    <row r="32" spans="1:21" ht="39.75" customHeight="1" x14ac:dyDescent="0.25">
      <c r="A32" s="418">
        <f t="shared" si="0"/>
        <v>19</v>
      </c>
      <c r="B32" s="343">
        <v>19</v>
      </c>
      <c r="C32" s="83" t="s">
        <v>395</v>
      </c>
      <c r="D32" s="77">
        <v>44259</v>
      </c>
      <c r="E32" s="419" t="s">
        <v>482</v>
      </c>
      <c r="F32" s="409"/>
      <c r="G32" s="420"/>
      <c r="H32" s="409"/>
      <c r="I32" s="421"/>
      <c r="J32" s="409"/>
      <c r="K32" s="421"/>
      <c r="L32" s="409"/>
      <c r="M32" s="422" t="s">
        <v>482</v>
      </c>
      <c r="N32" s="423"/>
      <c r="O32" s="424"/>
      <c r="P32" s="423"/>
      <c r="Q32" s="413"/>
      <c r="R32" s="423"/>
      <c r="S32" s="413"/>
      <c r="T32" s="423"/>
      <c r="U32" s="425"/>
    </row>
    <row r="33" spans="1:21" ht="39.75" customHeight="1" x14ac:dyDescent="0.25">
      <c r="A33" s="418">
        <f t="shared" si="0"/>
        <v>20</v>
      </c>
      <c r="B33" s="343">
        <v>20</v>
      </c>
      <c r="C33" s="83" t="s">
        <v>395</v>
      </c>
      <c r="D33" s="77">
        <v>44291</v>
      </c>
      <c r="E33" s="430" t="s">
        <v>482</v>
      </c>
      <c r="F33" s="421"/>
      <c r="G33" s="426"/>
      <c r="H33" s="421"/>
      <c r="I33" s="410"/>
      <c r="J33" s="421"/>
      <c r="K33" s="410"/>
      <c r="L33" s="421"/>
      <c r="M33" s="427" t="s">
        <v>482</v>
      </c>
      <c r="N33" s="413"/>
      <c r="O33" s="428"/>
      <c r="P33" s="413"/>
      <c r="Q33" s="414"/>
      <c r="R33" s="413"/>
      <c r="S33" s="414"/>
      <c r="T33" s="413"/>
      <c r="U33" s="429"/>
    </row>
    <row r="34" spans="1:21" ht="39.75" customHeight="1" x14ac:dyDescent="0.25">
      <c r="A34" s="418">
        <f t="shared" si="0"/>
        <v>21</v>
      </c>
      <c r="B34" s="343">
        <v>21</v>
      </c>
      <c r="C34" s="76" t="s">
        <v>395</v>
      </c>
      <c r="D34" s="77">
        <v>44319</v>
      </c>
      <c r="E34" s="419" t="s">
        <v>482</v>
      </c>
      <c r="F34" s="409"/>
      <c r="G34" s="420"/>
      <c r="H34" s="409"/>
      <c r="I34" s="421"/>
      <c r="J34" s="409"/>
      <c r="K34" s="421"/>
      <c r="L34" s="409"/>
      <c r="M34" s="422" t="s">
        <v>482</v>
      </c>
      <c r="N34" s="423"/>
      <c r="O34" s="424"/>
      <c r="P34" s="423"/>
      <c r="Q34" s="413"/>
      <c r="R34" s="423"/>
      <c r="S34" s="413"/>
      <c r="T34" s="423"/>
      <c r="U34" s="425"/>
    </row>
    <row r="35" spans="1:21" ht="39.75" customHeight="1" x14ac:dyDescent="0.25">
      <c r="A35" s="418">
        <f t="shared" si="0"/>
        <v>22</v>
      </c>
      <c r="B35" s="343">
        <v>22</v>
      </c>
      <c r="C35" s="83" t="s">
        <v>395</v>
      </c>
      <c r="D35" s="77">
        <v>44351</v>
      </c>
      <c r="E35" s="430" t="s">
        <v>482</v>
      </c>
      <c r="F35" s="421"/>
      <c r="G35" s="426"/>
      <c r="H35" s="421"/>
      <c r="I35" s="410"/>
      <c r="J35" s="421"/>
      <c r="K35" s="410"/>
      <c r="L35" s="421"/>
      <c r="M35" s="427" t="s">
        <v>482</v>
      </c>
      <c r="N35" s="413"/>
      <c r="O35" s="428"/>
      <c r="P35" s="413"/>
      <c r="Q35" s="414"/>
      <c r="R35" s="413"/>
      <c r="S35" s="414"/>
      <c r="T35" s="413"/>
      <c r="U35" s="429"/>
    </row>
    <row r="36" spans="1:21" ht="39.75" customHeight="1" x14ac:dyDescent="0.25">
      <c r="A36" s="418">
        <f t="shared" si="0"/>
        <v>23</v>
      </c>
      <c r="B36" s="343">
        <v>23</v>
      </c>
      <c r="C36" s="83" t="s">
        <v>395</v>
      </c>
      <c r="D36" s="77">
        <v>44379</v>
      </c>
      <c r="E36" s="419" t="s">
        <v>482</v>
      </c>
      <c r="F36" s="409"/>
      <c r="G36" s="420"/>
      <c r="H36" s="409"/>
      <c r="I36" s="421"/>
      <c r="J36" s="409"/>
      <c r="K36" s="421"/>
      <c r="L36" s="409"/>
      <c r="M36" s="422" t="s">
        <v>482</v>
      </c>
      <c r="N36" s="423"/>
      <c r="O36" s="424"/>
      <c r="P36" s="423"/>
      <c r="Q36" s="413"/>
      <c r="R36" s="423"/>
      <c r="S36" s="413"/>
      <c r="T36" s="423"/>
      <c r="U36" s="425"/>
    </row>
    <row r="37" spans="1:21" ht="39.75" customHeight="1" x14ac:dyDescent="0.25">
      <c r="A37" s="418">
        <f t="shared" si="0"/>
        <v>24</v>
      </c>
      <c r="B37" s="343">
        <v>24</v>
      </c>
      <c r="C37" s="83" t="s">
        <v>395</v>
      </c>
      <c r="D37" s="77">
        <v>44412</v>
      </c>
      <c r="E37" s="430" t="s">
        <v>482</v>
      </c>
      <c r="F37" s="421"/>
      <c r="G37" s="426"/>
      <c r="H37" s="421"/>
      <c r="I37" s="410"/>
      <c r="J37" s="421"/>
      <c r="K37" s="410"/>
      <c r="L37" s="421"/>
      <c r="M37" s="427" t="s">
        <v>482</v>
      </c>
      <c r="N37" s="413"/>
      <c r="O37" s="428"/>
      <c r="P37" s="413"/>
      <c r="Q37" s="414"/>
      <c r="R37" s="413"/>
      <c r="S37" s="414"/>
      <c r="T37" s="413"/>
      <c r="U37" s="429"/>
    </row>
    <row r="38" spans="1:21" ht="39.75" customHeight="1" x14ac:dyDescent="0.25">
      <c r="A38" s="418">
        <f t="shared" si="0"/>
        <v>25</v>
      </c>
      <c r="B38" s="343">
        <v>25</v>
      </c>
      <c r="C38" s="83" t="s">
        <v>395</v>
      </c>
      <c r="D38" s="77">
        <v>44077</v>
      </c>
      <c r="E38" s="419" t="s">
        <v>482</v>
      </c>
      <c r="F38" s="409"/>
      <c r="G38" s="420"/>
      <c r="H38" s="409"/>
      <c r="I38" s="421"/>
      <c r="J38" s="409"/>
      <c r="K38" s="421"/>
      <c r="L38" s="409"/>
      <c r="M38" s="422" t="s">
        <v>482</v>
      </c>
      <c r="N38" s="423"/>
      <c r="O38" s="424"/>
      <c r="P38" s="423"/>
      <c r="Q38" s="413"/>
      <c r="R38" s="423"/>
      <c r="S38" s="413"/>
      <c r="T38" s="423"/>
      <c r="U38" s="425"/>
    </row>
    <row r="39" spans="1:21" ht="39.75" customHeight="1" x14ac:dyDescent="0.25">
      <c r="A39" s="418">
        <f t="shared" si="0"/>
        <v>26</v>
      </c>
      <c r="B39" s="343">
        <v>26</v>
      </c>
      <c r="C39" s="83" t="s">
        <v>395</v>
      </c>
      <c r="D39" s="77">
        <v>44077</v>
      </c>
      <c r="E39" s="430" t="s">
        <v>482</v>
      </c>
      <c r="F39" s="421"/>
      <c r="G39" s="426"/>
      <c r="H39" s="421"/>
      <c r="I39" s="410"/>
      <c r="J39" s="421"/>
      <c r="K39" s="410"/>
      <c r="L39" s="421"/>
      <c r="M39" s="427" t="s">
        <v>482</v>
      </c>
      <c r="N39" s="413"/>
      <c r="O39" s="428"/>
      <c r="P39" s="413"/>
      <c r="Q39" s="414"/>
      <c r="R39" s="413"/>
      <c r="S39" s="414"/>
      <c r="T39" s="413"/>
      <c r="U39" s="429"/>
    </row>
    <row r="40" spans="1:21" ht="39.75" customHeight="1" x14ac:dyDescent="0.25">
      <c r="A40" s="418">
        <f t="shared" si="0"/>
        <v>27</v>
      </c>
      <c r="B40" s="343">
        <v>27</v>
      </c>
      <c r="C40" s="83" t="s">
        <v>395</v>
      </c>
      <c r="D40" s="77">
        <v>44137</v>
      </c>
      <c r="E40" s="419" t="s">
        <v>482</v>
      </c>
      <c r="F40" s="409"/>
      <c r="G40" s="420"/>
      <c r="H40" s="409"/>
      <c r="I40" s="421"/>
      <c r="J40" s="409"/>
      <c r="K40" s="421"/>
      <c r="L40" s="409"/>
      <c r="M40" s="422" t="s">
        <v>482</v>
      </c>
      <c r="N40" s="423"/>
      <c r="O40" s="424"/>
      <c r="P40" s="423"/>
      <c r="Q40" s="413"/>
      <c r="R40" s="423"/>
      <c r="S40" s="413"/>
      <c r="T40" s="423"/>
      <c r="U40" s="425"/>
    </row>
    <row r="41" spans="1:21" ht="39.75" customHeight="1" x14ac:dyDescent="0.25">
      <c r="A41" s="418">
        <f t="shared" si="0"/>
        <v>28</v>
      </c>
      <c r="B41" s="343">
        <v>28</v>
      </c>
      <c r="C41" s="83" t="s">
        <v>395</v>
      </c>
      <c r="D41" s="77">
        <v>44170</v>
      </c>
      <c r="E41" s="430" t="s">
        <v>482</v>
      </c>
      <c r="F41" s="421"/>
      <c r="G41" s="426"/>
      <c r="H41" s="421"/>
      <c r="I41" s="410"/>
      <c r="J41" s="421"/>
      <c r="K41" s="410"/>
      <c r="L41" s="421"/>
      <c r="M41" s="427" t="s">
        <v>482</v>
      </c>
      <c r="N41" s="413"/>
      <c r="O41" s="428"/>
      <c r="P41" s="413"/>
      <c r="Q41" s="414"/>
      <c r="R41" s="413"/>
      <c r="S41" s="414"/>
      <c r="T41" s="413"/>
      <c r="U41" s="429"/>
    </row>
    <row r="42" spans="1:21" ht="39.75" customHeight="1" x14ac:dyDescent="0.25">
      <c r="A42" s="418">
        <f t="shared" si="0"/>
        <v>29</v>
      </c>
      <c r="B42" s="343">
        <v>29</v>
      </c>
      <c r="C42" s="83" t="s">
        <v>395</v>
      </c>
      <c r="D42" s="77">
        <v>44201</v>
      </c>
      <c r="E42" s="419" t="s">
        <v>482</v>
      </c>
      <c r="F42" s="409"/>
      <c r="G42" s="420"/>
      <c r="H42" s="409"/>
      <c r="I42" s="421"/>
      <c r="J42" s="409"/>
      <c r="K42" s="421"/>
      <c r="L42" s="409"/>
      <c r="M42" s="422" t="s">
        <v>482</v>
      </c>
      <c r="N42" s="423"/>
      <c r="O42" s="424"/>
      <c r="P42" s="423"/>
      <c r="Q42" s="413"/>
      <c r="R42" s="423"/>
      <c r="S42" s="413"/>
      <c r="T42" s="423"/>
      <c r="U42" s="425"/>
    </row>
    <row r="43" spans="1:21" ht="39.75" customHeight="1" x14ac:dyDescent="0.25">
      <c r="A43" s="418">
        <f t="shared" si="0"/>
        <v>30</v>
      </c>
      <c r="B43" s="343">
        <v>30</v>
      </c>
      <c r="C43" s="83" t="s">
        <v>395</v>
      </c>
      <c r="D43" s="77">
        <v>44230</v>
      </c>
      <c r="E43" s="430" t="s">
        <v>482</v>
      </c>
      <c r="F43" s="421"/>
      <c r="G43" s="426"/>
      <c r="H43" s="421"/>
      <c r="I43" s="410"/>
      <c r="J43" s="421"/>
      <c r="K43" s="410"/>
      <c r="L43" s="421"/>
      <c r="M43" s="427" t="s">
        <v>482</v>
      </c>
      <c r="N43" s="413"/>
      <c r="O43" s="428"/>
      <c r="P43" s="413"/>
      <c r="Q43" s="414"/>
      <c r="R43" s="413"/>
      <c r="S43" s="414"/>
      <c r="T43" s="413"/>
      <c r="U43" s="429"/>
    </row>
    <row r="44" spans="1:21" ht="39.75" customHeight="1" x14ac:dyDescent="0.25">
      <c r="A44" s="418">
        <f t="shared" si="0"/>
        <v>31</v>
      </c>
      <c r="B44" s="343">
        <v>31</v>
      </c>
      <c r="C44" s="76" t="s">
        <v>395</v>
      </c>
      <c r="D44" s="77">
        <v>44259</v>
      </c>
      <c r="E44" s="419" t="s">
        <v>482</v>
      </c>
      <c r="F44" s="409"/>
      <c r="G44" s="420"/>
      <c r="H44" s="409"/>
      <c r="I44" s="421"/>
      <c r="J44" s="409"/>
      <c r="K44" s="421"/>
      <c r="L44" s="409"/>
      <c r="M44" s="422" t="s">
        <v>482</v>
      </c>
      <c r="N44" s="423"/>
      <c r="O44" s="424"/>
      <c r="P44" s="423"/>
      <c r="Q44" s="413"/>
      <c r="R44" s="423"/>
      <c r="S44" s="413"/>
      <c r="T44" s="423"/>
      <c r="U44" s="425"/>
    </row>
    <row r="45" spans="1:21" ht="39.75" customHeight="1" x14ac:dyDescent="0.25">
      <c r="A45" s="418">
        <f t="shared" si="0"/>
        <v>32</v>
      </c>
      <c r="B45" s="343">
        <v>32</v>
      </c>
      <c r="C45" s="83" t="s">
        <v>395</v>
      </c>
      <c r="D45" s="77">
        <v>44291</v>
      </c>
      <c r="E45" s="430" t="s">
        <v>482</v>
      </c>
      <c r="F45" s="421"/>
      <c r="G45" s="426"/>
      <c r="H45" s="421"/>
      <c r="I45" s="410"/>
      <c r="J45" s="421"/>
      <c r="K45" s="410"/>
      <c r="L45" s="421"/>
      <c r="M45" s="427" t="s">
        <v>482</v>
      </c>
      <c r="N45" s="413"/>
      <c r="O45" s="428"/>
      <c r="P45" s="413"/>
      <c r="Q45" s="414"/>
      <c r="R45" s="413"/>
      <c r="S45" s="414"/>
      <c r="T45" s="413"/>
      <c r="U45" s="429"/>
    </row>
    <row r="46" spans="1:21" ht="39.75" customHeight="1" x14ac:dyDescent="0.25">
      <c r="A46" s="418">
        <f t="shared" si="0"/>
        <v>33</v>
      </c>
      <c r="B46" s="343">
        <v>33</v>
      </c>
      <c r="C46" s="83" t="s">
        <v>395</v>
      </c>
      <c r="D46" s="77">
        <v>44319</v>
      </c>
      <c r="E46" s="419" t="s">
        <v>482</v>
      </c>
      <c r="F46" s="409"/>
      <c r="G46" s="420"/>
      <c r="H46" s="409"/>
      <c r="I46" s="421"/>
      <c r="J46" s="409"/>
      <c r="K46" s="421"/>
      <c r="L46" s="409"/>
      <c r="M46" s="422" t="s">
        <v>482</v>
      </c>
      <c r="N46" s="423"/>
      <c r="O46" s="424"/>
      <c r="P46" s="423"/>
      <c r="Q46" s="413"/>
      <c r="R46" s="423"/>
      <c r="S46" s="413"/>
      <c r="T46" s="423"/>
      <c r="U46" s="425"/>
    </row>
    <row r="47" spans="1:21" ht="39.75" customHeight="1" x14ac:dyDescent="0.25">
      <c r="A47" s="418">
        <f t="shared" si="0"/>
        <v>34</v>
      </c>
      <c r="B47" s="343">
        <v>34</v>
      </c>
      <c r="C47" s="83" t="s">
        <v>395</v>
      </c>
      <c r="D47" s="77">
        <v>44351</v>
      </c>
      <c r="E47" s="430" t="s">
        <v>482</v>
      </c>
      <c r="F47" s="421"/>
      <c r="G47" s="426"/>
      <c r="H47" s="421"/>
      <c r="I47" s="410"/>
      <c r="J47" s="421"/>
      <c r="K47" s="410"/>
      <c r="L47" s="421"/>
      <c r="M47" s="427" t="s">
        <v>482</v>
      </c>
      <c r="N47" s="413"/>
      <c r="O47" s="428"/>
      <c r="P47" s="413"/>
      <c r="Q47" s="414"/>
      <c r="R47" s="413"/>
      <c r="S47" s="414"/>
      <c r="T47" s="413"/>
      <c r="U47" s="429"/>
    </row>
    <row r="48" spans="1:21" ht="39.75" customHeight="1" x14ac:dyDescent="0.25">
      <c r="A48" s="418">
        <f t="shared" si="0"/>
        <v>35</v>
      </c>
      <c r="B48" s="343">
        <v>35</v>
      </c>
      <c r="C48" s="83" t="s">
        <v>395</v>
      </c>
      <c r="D48" s="77">
        <v>44379</v>
      </c>
      <c r="E48" s="419" t="s">
        <v>482</v>
      </c>
      <c r="F48" s="409"/>
      <c r="G48" s="420"/>
      <c r="H48" s="409"/>
      <c r="I48" s="421"/>
      <c r="J48" s="409"/>
      <c r="K48" s="421"/>
      <c r="L48" s="409"/>
      <c r="M48" s="422" t="s">
        <v>482</v>
      </c>
      <c r="N48" s="423"/>
      <c r="O48" s="424"/>
      <c r="P48" s="423"/>
      <c r="Q48" s="413"/>
      <c r="R48" s="423"/>
      <c r="S48" s="413"/>
      <c r="T48" s="423"/>
      <c r="U48" s="425"/>
    </row>
    <row r="49" spans="1:21" ht="39.75" customHeight="1" x14ac:dyDescent="0.25">
      <c r="A49" s="418">
        <f t="shared" si="0"/>
        <v>36</v>
      </c>
      <c r="B49" s="343">
        <v>36</v>
      </c>
      <c r="C49" s="83" t="s">
        <v>395</v>
      </c>
      <c r="D49" s="77">
        <v>44412</v>
      </c>
      <c r="E49" s="430" t="s">
        <v>482</v>
      </c>
      <c r="F49" s="421"/>
      <c r="G49" s="426"/>
      <c r="H49" s="421"/>
      <c r="I49" s="410"/>
      <c r="J49" s="421"/>
      <c r="K49" s="410"/>
      <c r="L49" s="421"/>
      <c r="M49" s="427" t="s">
        <v>482</v>
      </c>
      <c r="N49" s="413"/>
      <c r="O49" s="428"/>
      <c r="P49" s="413"/>
      <c r="Q49" s="414"/>
      <c r="R49" s="413"/>
      <c r="S49" s="414"/>
      <c r="T49" s="413"/>
      <c r="U49" s="429"/>
    </row>
    <row r="50" spans="1:21" ht="39.75" customHeight="1" x14ac:dyDescent="0.25">
      <c r="A50" s="418">
        <f t="shared" si="0"/>
        <v>37</v>
      </c>
      <c r="B50" s="343">
        <v>37</v>
      </c>
      <c r="C50" s="83" t="s">
        <v>395</v>
      </c>
      <c r="D50" s="77">
        <v>44077</v>
      </c>
      <c r="E50" s="419" t="s">
        <v>482</v>
      </c>
      <c r="F50" s="409"/>
      <c r="G50" s="420"/>
      <c r="H50" s="409"/>
      <c r="I50" s="421"/>
      <c r="J50" s="409"/>
      <c r="K50" s="421"/>
      <c r="L50" s="409"/>
      <c r="M50" s="422" t="s">
        <v>482</v>
      </c>
      <c r="N50" s="423"/>
      <c r="O50" s="424"/>
      <c r="P50" s="423"/>
      <c r="Q50" s="413"/>
      <c r="R50" s="423"/>
      <c r="S50" s="413"/>
      <c r="T50" s="423"/>
      <c r="U50" s="425"/>
    </row>
    <row r="51" spans="1:21" ht="39.75" customHeight="1" x14ac:dyDescent="0.25">
      <c r="A51" s="418">
        <f t="shared" si="0"/>
        <v>38</v>
      </c>
      <c r="B51" s="343">
        <v>38</v>
      </c>
      <c r="C51" s="83" t="s">
        <v>395</v>
      </c>
      <c r="D51" s="77">
        <v>44077</v>
      </c>
      <c r="E51" s="430" t="s">
        <v>482</v>
      </c>
      <c r="F51" s="421"/>
      <c r="G51" s="426"/>
      <c r="H51" s="421"/>
      <c r="I51" s="410"/>
      <c r="J51" s="421"/>
      <c r="K51" s="410"/>
      <c r="L51" s="421"/>
      <c r="M51" s="427" t="s">
        <v>482</v>
      </c>
      <c r="N51" s="413"/>
      <c r="O51" s="428"/>
      <c r="P51" s="413"/>
      <c r="Q51" s="414"/>
      <c r="R51" s="413"/>
      <c r="S51" s="414"/>
      <c r="T51" s="413"/>
      <c r="U51" s="429"/>
    </row>
    <row r="52" spans="1:21" ht="39.75" customHeight="1" x14ac:dyDescent="0.25">
      <c r="A52" s="418">
        <f t="shared" si="0"/>
        <v>39</v>
      </c>
      <c r="B52" s="343">
        <v>39</v>
      </c>
      <c r="C52" s="83" t="s">
        <v>395</v>
      </c>
      <c r="D52" s="77">
        <v>44137</v>
      </c>
      <c r="E52" s="419" t="s">
        <v>482</v>
      </c>
      <c r="F52" s="409"/>
      <c r="G52" s="420"/>
      <c r="H52" s="409"/>
      <c r="I52" s="421"/>
      <c r="J52" s="409"/>
      <c r="K52" s="421"/>
      <c r="L52" s="409"/>
      <c r="M52" s="422" t="s">
        <v>482</v>
      </c>
      <c r="N52" s="423"/>
      <c r="O52" s="424"/>
      <c r="P52" s="423"/>
      <c r="Q52" s="413"/>
      <c r="R52" s="423"/>
      <c r="S52" s="413"/>
      <c r="T52" s="423"/>
      <c r="U52" s="425"/>
    </row>
    <row r="53" spans="1:21" ht="39.75" customHeight="1" x14ac:dyDescent="0.25">
      <c r="A53" s="418">
        <f t="shared" si="0"/>
        <v>40</v>
      </c>
      <c r="B53" s="343">
        <v>40</v>
      </c>
      <c r="C53" s="83" t="s">
        <v>395</v>
      </c>
      <c r="D53" s="77">
        <v>44170</v>
      </c>
      <c r="E53" s="430" t="s">
        <v>482</v>
      </c>
      <c r="F53" s="421"/>
      <c r="G53" s="426"/>
      <c r="H53" s="421"/>
      <c r="I53" s="410"/>
      <c r="J53" s="421"/>
      <c r="K53" s="410"/>
      <c r="L53" s="421"/>
      <c r="M53" s="427" t="s">
        <v>482</v>
      </c>
      <c r="N53" s="413"/>
      <c r="O53" s="428"/>
      <c r="P53" s="413"/>
      <c r="Q53" s="414"/>
      <c r="R53" s="413"/>
      <c r="S53" s="414"/>
      <c r="T53" s="413"/>
      <c r="U53" s="429"/>
    </row>
    <row r="54" spans="1:21" ht="39.75" customHeight="1" x14ac:dyDescent="0.25">
      <c r="A54" s="418">
        <f t="shared" si="0"/>
        <v>41</v>
      </c>
      <c r="B54" s="343">
        <v>41</v>
      </c>
      <c r="C54" s="76" t="s">
        <v>395</v>
      </c>
      <c r="D54" s="77">
        <v>44201</v>
      </c>
      <c r="E54" s="419" t="s">
        <v>482</v>
      </c>
      <c r="F54" s="409"/>
      <c r="G54" s="420"/>
      <c r="H54" s="409"/>
      <c r="I54" s="421"/>
      <c r="J54" s="409"/>
      <c r="K54" s="421"/>
      <c r="L54" s="409"/>
      <c r="M54" s="422" t="s">
        <v>482</v>
      </c>
      <c r="N54" s="423"/>
      <c r="O54" s="424"/>
      <c r="P54" s="423"/>
      <c r="Q54" s="413"/>
      <c r="R54" s="423"/>
      <c r="S54" s="413"/>
      <c r="T54" s="423"/>
      <c r="U54" s="425"/>
    </row>
    <row r="55" spans="1:21" ht="39.75" customHeight="1" x14ac:dyDescent="0.25">
      <c r="A55" s="418">
        <f t="shared" si="0"/>
        <v>42</v>
      </c>
      <c r="B55" s="343">
        <v>42</v>
      </c>
      <c r="C55" s="83" t="s">
        <v>395</v>
      </c>
      <c r="D55" s="77">
        <v>44230</v>
      </c>
      <c r="E55" s="430" t="s">
        <v>482</v>
      </c>
      <c r="F55" s="421"/>
      <c r="G55" s="426"/>
      <c r="H55" s="421"/>
      <c r="I55" s="410"/>
      <c r="J55" s="421"/>
      <c r="K55" s="410"/>
      <c r="L55" s="421"/>
      <c r="M55" s="427" t="s">
        <v>482</v>
      </c>
      <c r="N55" s="413"/>
      <c r="O55" s="428"/>
      <c r="P55" s="413"/>
      <c r="Q55" s="414"/>
      <c r="R55" s="413"/>
      <c r="S55" s="414"/>
      <c r="T55" s="413"/>
      <c r="U55" s="429"/>
    </row>
    <row r="56" spans="1:21" ht="39.75" customHeight="1" x14ac:dyDescent="0.25">
      <c r="A56" s="418">
        <f t="shared" si="0"/>
        <v>43</v>
      </c>
      <c r="B56" s="343">
        <v>43</v>
      </c>
      <c r="C56" s="83" t="s">
        <v>395</v>
      </c>
      <c r="D56" s="77">
        <v>44259</v>
      </c>
      <c r="E56" s="419" t="s">
        <v>482</v>
      </c>
      <c r="F56" s="409"/>
      <c r="G56" s="420"/>
      <c r="H56" s="409"/>
      <c r="I56" s="421"/>
      <c r="J56" s="409"/>
      <c r="K56" s="421"/>
      <c r="L56" s="409"/>
      <c r="M56" s="422" t="s">
        <v>482</v>
      </c>
      <c r="N56" s="423"/>
      <c r="O56" s="424"/>
      <c r="P56" s="423"/>
      <c r="Q56" s="413"/>
      <c r="R56" s="423"/>
      <c r="S56" s="413"/>
      <c r="T56" s="423"/>
      <c r="U56" s="425"/>
    </row>
    <row r="57" spans="1:21" ht="39.75" customHeight="1" x14ac:dyDescent="0.25">
      <c r="A57" s="418">
        <f t="shared" si="0"/>
        <v>44</v>
      </c>
      <c r="B57" s="343">
        <v>44</v>
      </c>
      <c r="C57" s="83" t="s">
        <v>395</v>
      </c>
      <c r="D57" s="77">
        <v>44291</v>
      </c>
      <c r="E57" s="430" t="s">
        <v>482</v>
      </c>
      <c r="F57" s="421"/>
      <c r="G57" s="426"/>
      <c r="H57" s="421"/>
      <c r="I57" s="410"/>
      <c r="J57" s="421"/>
      <c r="K57" s="410"/>
      <c r="L57" s="421"/>
      <c r="M57" s="427" t="s">
        <v>482</v>
      </c>
      <c r="N57" s="413"/>
      <c r="O57" s="428"/>
      <c r="P57" s="413"/>
      <c r="Q57" s="414"/>
      <c r="R57" s="413"/>
      <c r="S57" s="414"/>
      <c r="T57" s="413"/>
      <c r="U57" s="429"/>
    </row>
    <row r="58" spans="1:21" ht="39.75" customHeight="1" x14ac:dyDescent="0.25">
      <c r="A58" s="418">
        <f t="shared" si="0"/>
        <v>45</v>
      </c>
      <c r="B58" s="343">
        <v>45</v>
      </c>
      <c r="C58" s="83" t="s">
        <v>395</v>
      </c>
      <c r="D58" s="77">
        <v>44319</v>
      </c>
      <c r="E58" s="419" t="s">
        <v>482</v>
      </c>
      <c r="F58" s="409"/>
      <c r="G58" s="420"/>
      <c r="H58" s="409"/>
      <c r="I58" s="421"/>
      <c r="J58" s="409"/>
      <c r="K58" s="421"/>
      <c r="L58" s="409"/>
      <c r="M58" s="422" t="s">
        <v>482</v>
      </c>
      <c r="N58" s="423"/>
      <c r="O58" s="424"/>
      <c r="P58" s="423"/>
      <c r="Q58" s="413"/>
      <c r="R58" s="423"/>
      <c r="S58" s="413"/>
      <c r="T58" s="423"/>
      <c r="U58" s="425"/>
    </row>
    <row r="59" spans="1:21" ht="39.75" customHeight="1" x14ac:dyDescent="0.25">
      <c r="A59" s="418">
        <f t="shared" si="0"/>
        <v>46</v>
      </c>
      <c r="B59" s="343">
        <v>46</v>
      </c>
      <c r="C59" s="83" t="s">
        <v>395</v>
      </c>
      <c r="D59" s="77">
        <v>44351</v>
      </c>
      <c r="E59" s="430" t="s">
        <v>482</v>
      </c>
      <c r="F59" s="421"/>
      <c r="G59" s="426"/>
      <c r="H59" s="421"/>
      <c r="I59" s="410"/>
      <c r="J59" s="421"/>
      <c r="K59" s="410"/>
      <c r="L59" s="421"/>
      <c r="M59" s="427" t="s">
        <v>482</v>
      </c>
      <c r="N59" s="413"/>
      <c r="O59" s="428"/>
      <c r="P59" s="413"/>
      <c r="Q59" s="414"/>
      <c r="R59" s="413"/>
      <c r="S59" s="414"/>
      <c r="T59" s="413"/>
      <c r="U59" s="429"/>
    </row>
    <row r="60" spans="1:21" ht="39.75" customHeight="1" x14ac:dyDescent="0.25">
      <c r="A60" s="418">
        <f t="shared" si="0"/>
        <v>47</v>
      </c>
      <c r="B60" s="343">
        <v>47</v>
      </c>
      <c r="C60" s="83" t="s">
        <v>395</v>
      </c>
      <c r="D60" s="77">
        <v>44379</v>
      </c>
      <c r="E60" s="419" t="s">
        <v>482</v>
      </c>
      <c r="F60" s="409"/>
      <c r="G60" s="420"/>
      <c r="H60" s="409"/>
      <c r="I60" s="421"/>
      <c r="J60" s="409"/>
      <c r="K60" s="421"/>
      <c r="L60" s="409"/>
      <c r="M60" s="422" t="s">
        <v>482</v>
      </c>
      <c r="N60" s="423"/>
      <c r="O60" s="424"/>
      <c r="P60" s="423"/>
      <c r="Q60" s="413"/>
      <c r="R60" s="423"/>
      <c r="S60" s="413"/>
      <c r="T60" s="423"/>
      <c r="U60" s="425"/>
    </row>
    <row r="61" spans="1:21" ht="39.75" customHeight="1" x14ac:dyDescent="0.25">
      <c r="A61" s="418">
        <f t="shared" si="0"/>
        <v>48</v>
      </c>
      <c r="B61" s="343">
        <v>48</v>
      </c>
      <c r="C61" s="83" t="s">
        <v>395</v>
      </c>
      <c r="D61" s="77">
        <v>44412</v>
      </c>
      <c r="E61" s="430" t="s">
        <v>482</v>
      </c>
      <c r="F61" s="421"/>
      <c r="G61" s="426"/>
      <c r="H61" s="421"/>
      <c r="I61" s="410"/>
      <c r="J61" s="421"/>
      <c r="K61" s="410"/>
      <c r="L61" s="421"/>
      <c r="M61" s="427" t="s">
        <v>482</v>
      </c>
      <c r="N61" s="413"/>
      <c r="O61" s="428"/>
      <c r="P61" s="413"/>
      <c r="Q61" s="414"/>
      <c r="R61" s="413"/>
      <c r="S61" s="414"/>
      <c r="T61" s="413"/>
      <c r="U61" s="429"/>
    </row>
    <row r="62" spans="1:21" ht="39.75" customHeight="1" x14ac:dyDescent="0.25">
      <c r="A62" s="418">
        <f t="shared" si="0"/>
        <v>49</v>
      </c>
      <c r="B62" s="343">
        <v>49</v>
      </c>
      <c r="C62" s="83" t="s">
        <v>395</v>
      </c>
      <c r="D62" s="77">
        <v>44076</v>
      </c>
      <c r="E62" s="419" t="s">
        <v>482</v>
      </c>
      <c r="F62" s="409"/>
      <c r="G62" s="420"/>
      <c r="H62" s="409"/>
      <c r="I62" s="421"/>
      <c r="J62" s="409"/>
      <c r="K62" s="421"/>
      <c r="L62" s="409"/>
      <c r="M62" s="422" t="s">
        <v>482</v>
      </c>
      <c r="N62" s="423"/>
      <c r="O62" s="424"/>
      <c r="P62" s="423"/>
      <c r="Q62" s="413"/>
      <c r="R62" s="423"/>
      <c r="S62" s="413"/>
      <c r="T62" s="423"/>
      <c r="U62" s="425"/>
    </row>
    <row r="63" spans="1:21" ht="39.75" customHeight="1" x14ac:dyDescent="0.25">
      <c r="A63" s="418">
        <f t="shared" si="0"/>
        <v>50</v>
      </c>
      <c r="B63" s="343">
        <v>50</v>
      </c>
      <c r="C63" s="83" t="s">
        <v>395</v>
      </c>
      <c r="D63" s="77">
        <v>44139</v>
      </c>
      <c r="E63" s="430" t="s">
        <v>482</v>
      </c>
      <c r="F63" s="421"/>
      <c r="G63" s="426"/>
      <c r="H63" s="421"/>
      <c r="I63" s="410"/>
      <c r="J63" s="421"/>
      <c r="K63" s="410"/>
      <c r="L63" s="421"/>
      <c r="M63" s="427" t="s">
        <v>482</v>
      </c>
      <c r="N63" s="413"/>
      <c r="O63" s="428"/>
      <c r="P63" s="413"/>
      <c r="Q63" s="414"/>
      <c r="R63" s="413"/>
      <c r="S63" s="414"/>
      <c r="T63" s="413"/>
      <c r="U63" s="429"/>
    </row>
    <row r="64" spans="1:2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7">
    <mergeCell ref="E12:L12"/>
    <mergeCell ref="M12:T12"/>
    <mergeCell ref="A10:D10"/>
    <mergeCell ref="E10:F10"/>
    <mergeCell ref="G10:H10"/>
    <mergeCell ref="I10:L10"/>
    <mergeCell ref="M10:Q10"/>
    <mergeCell ref="A11:Q11"/>
    <mergeCell ref="B12:D12"/>
    <mergeCell ref="I8:L8"/>
    <mergeCell ref="M8:Q8"/>
    <mergeCell ref="I9:L9"/>
    <mergeCell ref="M9:Q9"/>
    <mergeCell ref="A6:D6"/>
    <mergeCell ref="A7:D7"/>
    <mergeCell ref="E7:H7"/>
    <mergeCell ref="I7:L7"/>
    <mergeCell ref="M7:Q7"/>
    <mergeCell ref="A8:D9"/>
    <mergeCell ref="E8:H9"/>
    <mergeCell ref="A2:Q2"/>
    <mergeCell ref="A3:Q3"/>
    <mergeCell ref="A4:Q4"/>
    <mergeCell ref="A5:Q5"/>
    <mergeCell ref="E6:H6"/>
    <mergeCell ref="I6:L6"/>
    <mergeCell ref="M6:Q6"/>
  </mergeCells>
  <dataValidations count="1">
    <dataValidation type="custom" allowBlank="1" showInputMessage="1" showErrorMessage="1" prompt="Internal Client I.D.  Use alphabet and/or number characters only. Limit to 15 characters. Needs to match GPRA. " sqref="C14:C63" xr:uid="{00000000-0002-0000-1000-000001000000}">
      <formula1>AND(ISNUMBER(SUMPRODUCT(SEARCH(MID(C14,ROW(INDIRECT("1:15"&amp;LEN(C14))),1),"0123456789ABCDEFGHIJKLMNOPQRSTUVWXYZ"))),LEN(C14)&lt;=15)</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1000-000000000000}">
          <x14:formula1>
            <xm:f>'Pick List '!$C$4:$C$9</xm:f>
          </x14:formula1>
          <xm:sqref>G10</xm:sqref>
        </x14:dataValidation>
        <x14:dataValidation type="list" allowBlank="1" showErrorMessage="1" xr:uid="{00000000-0002-0000-1000-000002000000}">
          <x14:formula1>
            <xm:f>'Pick List '!$A$4:$A$15</xm:f>
          </x14:formula1>
          <xm:sqref>E10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33C0B"/>
  </sheetPr>
  <dimension ref="A1:AM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1.28515625" customWidth="1"/>
    <col min="4" max="4" width="12.42578125" customWidth="1"/>
    <col min="5" max="5" width="12.7109375" customWidth="1"/>
    <col min="6" max="6" width="9.7109375" customWidth="1"/>
    <col min="7" max="26" width="12.7109375" customWidth="1"/>
    <col min="27" max="27" width="8.7109375" customWidth="1"/>
    <col min="28" max="38" width="12.7109375" customWidth="1"/>
    <col min="39" max="39" width="8.7109375" customWidth="1"/>
  </cols>
  <sheetData>
    <row r="1" spans="1:39" ht="60" customHeight="1" x14ac:dyDescent="0.25">
      <c r="A1" s="89" t="s">
        <v>27</v>
      </c>
      <c r="B1" s="124" t="s">
        <v>212</v>
      </c>
      <c r="C1" s="125" t="s">
        <v>213</v>
      </c>
      <c r="D1" s="124" t="s">
        <v>239</v>
      </c>
      <c r="E1" s="125" t="s">
        <v>398</v>
      </c>
      <c r="F1" s="126" t="s">
        <v>241</v>
      </c>
      <c r="G1" s="127" t="s">
        <v>242</v>
      </c>
      <c r="H1" s="128" t="s">
        <v>243</v>
      </c>
      <c r="I1" s="129" t="s">
        <v>244</v>
      </c>
      <c r="J1" s="130" t="s">
        <v>245</v>
      </c>
      <c r="K1" s="131" t="s">
        <v>246</v>
      </c>
      <c r="L1" s="132" t="s">
        <v>247</v>
      </c>
      <c r="M1" s="133" t="s">
        <v>248</v>
      </c>
      <c r="N1" s="134" t="s">
        <v>249</v>
      </c>
      <c r="O1" s="135" t="s">
        <v>250</v>
      </c>
      <c r="P1" s="136" t="s">
        <v>251</v>
      </c>
      <c r="Q1" s="138" t="s">
        <v>253</v>
      </c>
      <c r="R1" s="139" t="s">
        <v>254</v>
      </c>
      <c r="S1" s="140" t="s">
        <v>255</v>
      </c>
      <c r="T1" s="141" t="s">
        <v>256</v>
      </c>
      <c r="U1" s="142" t="s">
        <v>257</v>
      </c>
      <c r="V1" s="143" t="s">
        <v>259</v>
      </c>
      <c r="W1" s="144" t="s">
        <v>260</v>
      </c>
      <c r="X1" s="145" t="s">
        <v>261</v>
      </c>
      <c r="Y1" s="146" t="s">
        <v>262</v>
      </c>
      <c r="Z1" s="147" t="s">
        <v>263</v>
      </c>
      <c r="AA1" s="431" t="s">
        <v>483</v>
      </c>
      <c r="AB1" s="148" t="s">
        <v>264</v>
      </c>
      <c r="AC1" s="149" t="s">
        <v>265</v>
      </c>
      <c r="AD1" s="150" t="s">
        <v>266</v>
      </c>
      <c r="AE1" s="151" t="s">
        <v>267</v>
      </c>
      <c r="AF1" s="152" t="s">
        <v>268</v>
      </c>
      <c r="AG1" s="153" t="s">
        <v>269</v>
      </c>
      <c r="AH1" s="154" t="s">
        <v>270</v>
      </c>
      <c r="AI1" s="153" t="s">
        <v>271</v>
      </c>
      <c r="AJ1" s="155" t="s">
        <v>272</v>
      </c>
      <c r="AK1" s="156" t="s">
        <v>273</v>
      </c>
      <c r="AL1" s="157" t="s">
        <v>274</v>
      </c>
      <c r="AM1" s="158" t="s">
        <v>275</v>
      </c>
    </row>
    <row r="2" spans="1:39" ht="15.75" x14ac:dyDescent="0.25">
      <c r="A2" s="785" t="str">
        <f>'BASE GRANTEE INFO &amp; UPDATES'!A1</f>
        <v>WV Bureau For Behavioral Health - Harm Reduction 2025</v>
      </c>
      <c r="B2" s="705"/>
      <c r="C2" s="705"/>
      <c r="D2" s="705"/>
      <c r="E2" s="705"/>
      <c r="F2" s="705"/>
      <c r="G2" s="705"/>
      <c r="H2" s="705"/>
      <c r="I2" s="705"/>
      <c r="J2" s="705"/>
      <c r="K2" s="705"/>
      <c r="L2" s="705"/>
      <c r="M2" s="705"/>
      <c r="N2" s="833"/>
      <c r="O2" s="159"/>
      <c r="P2" s="160"/>
      <c r="Q2" s="160"/>
      <c r="R2" s="161"/>
      <c r="S2" s="161"/>
      <c r="T2" s="161"/>
      <c r="U2" s="161"/>
      <c r="V2" s="161"/>
      <c r="W2" s="161"/>
      <c r="X2" s="161"/>
      <c r="Y2" s="161"/>
      <c r="Z2" s="161"/>
      <c r="AA2" s="161"/>
      <c r="AB2" s="161"/>
      <c r="AC2" s="161"/>
      <c r="AD2" s="161"/>
      <c r="AE2" s="161"/>
      <c r="AF2" s="161"/>
      <c r="AG2" s="161"/>
      <c r="AH2" s="161"/>
      <c r="AI2" s="161"/>
      <c r="AJ2" s="161"/>
      <c r="AK2" s="161"/>
      <c r="AL2" s="161"/>
      <c r="AM2" s="432"/>
    </row>
    <row r="3" spans="1:39" ht="15.75" x14ac:dyDescent="0.25">
      <c r="A3" s="786">
        <f>'BASE GRANTEE INFO &amp; UPDATES'!A2</f>
        <v>0</v>
      </c>
      <c r="B3" s="708"/>
      <c r="C3" s="708"/>
      <c r="D3" s="708"/>
      <c r="E3" s="708"/>
      <c r="F3" s="708"/>
      <c r="G3" s="708"/>
      <c r="H3" s="708"/>
      <c r="I3" s="708"/>
      <c r="J3" s="708"/>
      <c r="K3" s="708"/>
      <c r="L3" s="708"/>
      <c r="M3" s="708"/>
      <c r="N3" s="709"/>
      <c r="O3" s="162"/>
      <c r="P3" s="163"/>
      <c r="Q3" s="163"/>
      <c r="R3" s="164"/>
      <c r="S3" s="164"/>
      <c r="T3" s="164"/>
      <c r="U3" s="164"/>
      <c r="V3" s="164"/>
      <c r="W3" s="164"/>
      <c r="X3" s="164"/>
      <c r="Y3" s="164"/>
      <c r="Z3" s="164"/>
      <c r="AA3" s="164"/>
      <c r="AB3" s="164"/>
      <c r="AC3" s="164"/>
      <c r="AD3" s="164"/>
      <c r="AE3" s="164"/>
      <c r="AF3" s="164"/>
      <c r="AG3" s="164"/>
      <c r="AH3" s="164"/>
      <c r="AI3" s="164"/>
      <c r="AJ3" s="164"/>
      <c r="AK3" s="164"/>
      <c r="AL3" s="164"/>
      <c r="AM3" s="433"/>
    </row>
    <row r="4" spans="1:39" ht="15.75" x14ac:dyDescent="0.25">
      <c r="A4" s="826"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11"/>
      <c r="N4" s="757"/>
      <c r="O4" s="165"/>
      <c r="P4" s="166"/>
      <c r="Q4" s="166"/>
      <c r="R4" s="164"/>
      <c r="S4" s="164"/>
      <c r="T4" s="164"/>
      <c r="U4" s="164"/>
      <c r="V4" s="164"/>
      <c r="W4" s="164"/>
      <c r="X4" s="164"/>
      <c r="Y4" s="164"/>
      <c r="Z4" s="164"/>
      <c r="AA4" s="164"/>
      <c r="AB4" s="164"/>
      <c r="AC4" s="164"/>
      <c r="AD4" s="164"/>
      <c r="AE4" s="164"/>
      <c r="AF4" s="164"/>
      <c r="AG4" s="164"/>
      <c r="AH4" s="164"/>
      <c r="AI4" s="164"/>
      <c r="AJ4" s="164"/>
      <c r="AK4" s="164"/>
      <c r="AL4" s="164"/>
      <c r="AM4" s="433"/>
    </row>
    <row r="5" spans="1:39" ht="18.75" x14ac:dyDescent="0.25">
      <c r="A5" s="834" t="s">
        <v>276</v>
      </c>
      <c r="B5" s="698"/>
      <c r="C5" s="698"/>
      <c r="D5" s="698"/>
      <c r="E5" s="698"/>
      <c r="F5" s="698"/>
      <c r="G5" s="698"/>
      <c r="H5" s="698"/>
      <c r="I5" s="698"/>
      <c r="J5" s="698"/>
      <c r="K5" s="698"/>
      <c r="L5" s="698"/>
      <c r="M5" s="698"/>
      <c r="N5" s="714"/>
      <c r="O5" s="167"/>
      <c r="P5" s="168"/>
      <c r="Q5" s="168"/>
      <c r="R5" s="164"/>
      <c r="S5" s="164"/>
      <c r="T5" s="164"/>
      <c r="U5" s="164"/>
      <c r="V5" s="164"/>
      <c r="W5" s="164"/>
      <c r="X5" s="164"/>
      <c r="Y5" s="164"/>
      <c r="Z5" s="164"/>
      <c r="AA5" s="164"/>
      <c r="AB5" s="164"/>
      <c r="AC5" s="164"/>
      <c r="AD5" s="164"/>
      <c r="AE5" s="164"/>
      <c r="AF5" s="164"/>
      <c r="AG5" s="164"/>
      <c r="AH5" s="164"/>
      <c r="AI5" s="164"/>
      <c r="AJ5" s="164"/>
      <c r="AK5" s="164"/>
      <c r="AL5" s="164"/>
      <c r="AM5" s="433"/>
    </row>
    <row r="6" spans="1:39" ht="19.5" customHeight="1" x14ac:dyDescent="0.25">
      <c r="A6" s="790" t="s">
        <v>484</v>
      </c>
      <c r="B6" s="698"/>
      <c r="C6" s="698"/>
      <c r="D6" s="699"/>
      <c r="E6" s="794" t="str">
        <f>'BASE GRANTEE INFO &amp; UPDATES'!E5</f>
        <v>Harm Reduction Program</v>
      </c>
      <c r="F6" s="698"/>
      <c r="G6" s="698"/>
      <c r="H6" s="699"/>
      <c r="I6" s="795" t="s">
        <v>0</v>
      </c>
      <c r="J6" s="698"/>
      <c r="K6" s="714"/>
      <c r="L6" s="832">
        <f>'BASE GRANTEE INFO &amp; UPDATES'!M5</f>
        <v>0</v>
      </c>
      <c r="M6" s="698"/>
      <c r="N6" s="714"/>
      <c r="O6" s="98"/>
      <c r="P6" s="99"/>
      <c r="Q6" s="99"/>
      <c r="R6" s="164"/>
      <c r="S6" s="164"/>
      <c r="T6" s="164"/>
      <c r="U6" s="164"/>
      <c r="V6" s="164"/>
      <c r="W6" s="164"/>
      <c r="X6" s="164"/>
      <c r="Y6" s="164"/>
      <c r="Z6" s="164"/>
      <c r="AA6" s="164"/>
      <c r="AB6" s="164"/>
      <c r="AC6" s="164"/>
      <c r="AD6" s="164"/>
      <c r="AE6" s="164"/>
      <c r="AF6" s="164"/>
      <c r="AG6" s="164"/>
      <c r="AH6" s="164"/>
      <c r="AI6" s="164"/>
      <c r="AJ6" s="164"/>
      <c r="AK6" s="164"/>
      <c r="AL6" s="164"/>
      <c r="AM6" s="433"/>
    </row>
    <row r="7" spans="1:39" ht="19.5" customHeight="1" x14ac:dyDescent="0.25">
      <c r="A7" s="790" t="s">
        <v>485</v>
      </c>
      <c r="B7" s="698"/>
      <c r="C7" s="698"/>
      <c r="D7" s="699"/>
      <c r="E7" s="797">
        <f>'BASE GRANTEE INFO &amp; UPDATES'!E6</f>
        <v>0</v>
      </c>
      <c r="F7" s="698"/>
      <c r="G7" s="698"/>
      <c r="H7" s="699"/>
      <c r="I7" s="795" t="s">
        <v>1</v>
      </c>
      <c r="J7" s="698"/>
      <c r="K7" s="714"/>
      <c r="L7" s="832">
        <f>'BASE GRANTEE INFO &amp; UPDATES'!M6</f>
        <v>0</v>
      </c>
      <c r="M7" s="698"/>
      <c r="N7" s="714"/>
      <c r="O7" s="98"/>
      <c r="P7" s="99"/>
      <c r="Q7" s="99"/>
      <c r="R7" s="164"/>
      <c r="S7" s="164"/>
      <c r="T7" s="164"/>
      <c r="U7" s="164"/>
      <c r="V7" s="164"/>
      <c r="W7" s="164"/>
      <c r="X7" s="164"/>
      <c r="Y7" s="164"/>
      <c r="Z7" s="164"/>
      <c r="AA7" s="164"/>
      <c r="AB7" s="164"/>
      <c r="AC7" s="164"/>
      <c r="AD7" s="164"/>
      <c r="AE7" s="164"/>
      <c r="AF7" s="164"/>
      <c r="AG7" s="164"/>
      <c r="AH7" s="164"/>
      <c r="AI7" s="164"/>
      <c r="AJ7" s="164"/>
      <c r="AK7" s="164"/>
      <c r="AL7" s="164"/>
      <c r="AM7" s="433"/>
    </row>
    <row r="8" spans="1:39" ht="19.5" customHeight="1" x14ac:dyDescent="0.25">
      <c r="A8" s="789" t="s">
        <v>2</v>
      </c>
      <c r="B8" s="766"/>
      <c r="C8" s="766"/>
      <c r="D8" s="767"/>
      <c r="E8" s="798">
        <f>'BASE GRANTEE INFO &amp; UPDATES'!E7</f>
        <v>0</v>
      </c>
      <c r="F8" s="766"/>
      <c r="G8" s="766"/>
      <c r="H8" s="767"/>
      <c r="I8" s="795" t="s">
        <v>3</v>
      </c>
      <c r="J8" s="698"/>
      <c r="K8" s="714"/>
      <c r="L8" s="832">
        <f>'BASE GRANTEE INFO &amp; UPDATES'!M7</f>
        <v>0</v>
      </c>
      <c r="M8" s="698"/>
      <c r="N8" s="714"/>
      <c r="O8" s="98"/>
      <c r="P8" s="99"/>
      <c r="Q8" s="99"/>
      <c r="R8" s="164"/>
      <c r="S8" s="164"/>
      <c r="T8" s="164"/>
      <c r="U8" s="164"/>
      <c r="V8" s="164"/>
      <c r="W8" s="164"/>
      <c r="X8" s="164"/>
      <c r="Y8" s="164"/>
      <c r="Z8" s="164"/>
      <c r="AA8" s="164"/>
      <c r="AB8" s="164"/>
      <c r="AC8" s="164"/>
      <c r="AD8" s="164"/>
      <c r="AE8" s="164"/>
      <c r="AF8" s="164"/>
      <c r="AG8" s="164"/>
      <c r="AH8" s="164"/>
      <c r="AI8" s="164"/>
      <c r="AJ8" s="164"/>
      <c r="AK8" s="164"/>
      <c r="AL8" s="164"/>
      <c r="AM8" s="433"/>
    </row>
    <row r="9" spans="1:39" ht="19.5" customHeight="1" x14ac:dyDescent="0.25">
      <c r="A9" s="768"/>
      <c r="B9" s="769"/>
      <c r="C9" s="769"/>
      <c r="D9" s="770"/>
      <c r="E9" s="768"/>
      <c r="F9" s="769"/>
      <c r="G9" s="769"/>
      <c r="H9" s="770"/>
      <c r="I9" s="792" t="s">
        <v>486</v>
      </c>
      <c r="J9" s="698"/>
      <c r="K9" s="714"/>
      <c r="L9" s="832">
        <f>'BASE GRANTEE INFO &amp; UPDATES'!M8</f>
        <v>0</v>
      </c>
      <c r="M9" s="698"/>
      <c r="N9" s="714"/>
      <c r="O9" s="98"/>
      <c r="P9" s="99"/>
      <c r="Q9" s="99"/>
      <c r="R9" s="164"/>
      <c r="S9" s="164"/>
      <c r="T9" s="164"/>
      <c r="U9" s="164"/>
      <c r="V9" s="164"/>
      <c r="W9" s="164"/>
      <c r="X9" s="164"/>
      <c r="Y9" s="164"/>
      <c r="Z9" s="164"/>
      <c r="AA9" s="164"/>
      <c r="AB9" s="164"/>
      <c r="AC9" s="164"/>
      <c r="AD9" s="164"/>
      <c r="AE9" s="164"/>
      <c r="AF9" s="164"/>
      <c r="AG9" s="164"/>
      <c r="AH9" s="164"/>
      <c r="AI9" s="164"/>
      <c r="AJ9" s="164"/>
      <c r="AK9" s="164"/>
      <c r="AL9" s="164"/>
      <c r="AM9" s="433"/>
    </row>
    <row r="10" spans="1:39" ht="19.5" customHeight="1" x14ac:dyDescent="0.25">
      <c r="A10" s="790" t="s">
        <v>487</v>
      </c>
      <c r="B10" s="698"/>
      <c r="C10" s="698"/>
      <c r="D10" s="699"/>
      <c r="E10" s="791" t="str">
        <f>'BASE GRANTEE INFO &amp; UPDATES'!E9</f>
        <v>September 1 - 30</v>
      </c>
      <c r="F10" s="699"/>
      <c r="G10" s="791">
        <f>'BASE GRANTEE INFO &amp; UPDATES'!G9</f>
        <v>2024</v>
      </c>
      <c r="H10" s="699"/>
      <c r="I10" s="792" t="s">
        <v>488</v>
      </c>
      <c r="J10" s="698"/>
      <c r="K10" s="714"/>
      <c r="L10" s="832">
        <f>'BASE GRANTEE INFO &amp; UPDATES'!M9</f>
        <v>0</v>
      </c>
      <c r="M10" s="698"/>
      <c r="N10" s="714"/>
      <c r="O10" s="98"/>
      <c r="P10" s="99"/>
      <c r="Q10" s="99"/>
      <c r="R10" s="164"/>
      <c r="S10" s="164"/>
      <c r="T10" s="164"/>
      <c r="U10" s="164"/>
      <c r="V10" s="164"/>
      <c r="W10" s="164"/>
      <c r="X10" s="164"/>
      <c r="Y10" s="164"/>
      <c r="Z10" s="164"/>
      <c r="AA10" s="164"/>
      <c r="AB10" s="164"/>
      <c r="AC10" s="164"/>
      <c r="AD10" s="164"/>
      <c r="AE10" s="164"/>
      <c r="AF10" s="164"/>
      <c r="AG10" s="164"/>
      <c r="AH10" s="164"/>
      <c r="AI10" s="164"/>
      <c r="AJ10" s="164"/>
      <c r="AK10" s="164"/>
      <c r="AL10" s="164"/>
      <c r="AM10" s="433"/>
    </row>
    <row r="11" spans="1:39" ht="18.75" x14ac:dyDescent="0.25">
      <c r="A11" s="834" t="s">
        <v>282</v>
      </c>
      <c r="B11" s="698"/>
      <c r="C11" s="698"/>
      <c r="D11" s="698"/>
      <c r="E11" s="698"/>
      <c r="F11" s="698"/>
      <c r="G11" s="698"/>
      <c r="H11" s="698"/>
      <c r="I11" s="698"/>
      <c r="J11" s="698"/>
      <c r="K11" s="698"/>
      <c r="L11" s="698"/>
      <c r="M11" s="698"/>
      <c r="N11" s="714"/>
      <c r="O11" s="169"/>
      <c r="P11" s="170"/>
      <c r="Q11" s="170"/>
      <c r="R11" s="171"/>
      <c r="S11" s="171"/>
      <c r="T11" s="171"/>
      <c r="U11" s="171"/>
      <c r="V11" s="171"/>
      <c r="W11" s="171"/>
      <c r="X11" s="171"/>
      <c r="Y11" s="171"/>
      <c r="Z11" s="171"/>
      <c r="AA11" s="171"/>
      <c r="AB11" s="171"/>
      <c r="AC11" s="171"/>
      <c r="AD11" s="171"/>
      <c r="AE11" s="171"/>
      <c r="AF11" s="171"/>
      <c r="AG11" s="171"/>
      <c r="AH11" s="171"/>
      <c r="AI11" s="171"/>
      <c r="AJ11" s="171"/>
      <c r="AK11" s="171"/>
      <c r="AL11" s="171"/>
      <c r="AM11" s="434"/>
    </row>
    <row r="12" spans="1:39" ht="60" customHeight="1" x14ac:dyDescent="0.25">
      <c r="A12" s="89" t="s">
        <v>27</v>
      </c>
      <c r="B12" s="124" t="s">
        <v>212</v>
      </c>
      <c r="C12" s="125" t="s">
        <v>213</v>
      </c>
      <c r="D12" s="124" t="s">
        <v>239</v>
      </c>
      <c r="E12" s="125" t="s">
        <v>398</v>
      </c>
      <c r="F12" s="137" t="s">
        <v>241</v>
      </c>
      <c r="G12" s="127" t="s">
        <v>283</v>
      </c>
      <c r="H12" s="128" t="s">
        <v>243</v>
      </c>
      <c r="I12" s="129" t="s">
        <v>244</v>
      </c>
      <c r="J12" s="130" t="s">
        <v>245</v>
      </c>
      <c r="K12" s="131" t="s">
        <v>246</v>
      </c>
      <c r="L12" s="132" t="s">
        <v>247</v>
      </c>
      <c r="M12" s="133" t="s">
        <v>248</v>
      </c>
      <c r="N12" s="134" t="s">
        <v>249</v>
      </c>
      <c r="O12" s="172" t="s">
        <v>250</v>
      </c>
      <c r="P12" s="173" t="s">
        <v>284</v>
      </c>
      <c r="Q12" s="174" t="s">
        <v>253</v>
      </c>
      <c r="R12" s="175" t="s">
        <v>254</v>
      </c>
      <c r="S12" s="176" t="s">
        <v>255</v>
      </c>
      <c r="T12" s="177" t="s">
        <v>256</v>
      </c>
      <c r="U12" s="178" t="s">
        <v>285</v>
      </c>
      <c r="V12" s="179" t="s">
        <v>259</v>
      </c>
      <c r="W12" s="180" t="s">
        <v>260</v>
      </c>
      <c r="X12" s="181" t="s">
        <v>261</v>
      </c>
      <c r="Y12" s="182" t="s">
        <v>262</v>
      </c>
      <c r="Z12" s="183" t="s">
        <v>263</v>
      </c>
      <c r="AA12" s="435" t="s">
        <v>483</v>
      </c>
      <c r="AB12" s="184" t="s">
        <v>264</v>
      </c>
      <c r="AC12" s="185" t="s">
        <v>265</v>
      </c>
      <c r="AD12" s="186" t="s">
        <v>266</v>
      </c>
      <c r="AE12" s="187" t="s">
        <v>267</v>
      </c>
      <c r="AF12" s="188" t="s">
        <v>268</v>
      </c>
      <c r="AG12" s="189" t="s">
        <v>269</v>
      </c>
      <c r="AH12" s="190" t="s">
        <v>270</v>
      </c>
      <c r="AI12" s="189" t="s">
        <v>271</v>
      </c>
      <c r="AJ12" s="191" t="s">
        <v>272</v>
      </c>
      <c r="AK12" s="192" t="s">
        <v>273</v>
      </c>
      <c r="AL12" s="193" t="s">
        <v>274</v>
      </c>
      <c r="AM12" s="194" t="s">
        <v>275</v>
      </c>
    </row>
    <row r="13" spans="1:39" ht="39.75" customHeight="1" x14ac:dyDescent="0.25">
      <c r="A13" s="195">
        <f t="shared" ref="A13:A62" si="0">ROW(A1)</f>
        <v>1</v>
      </c>
      <c r="B13" s="110" t="e">
        <f>#REF!</f>
        <v>#REF!</v>
      </c>
      <c r="C13" s="111" t="e">
        <f>#REF!</f>
        <v>#REF!</v>
      </c>
      <c r="D13" s="112" t="e">
        <f>#REF!</f>
        <v>#REF!</v>
      </c>
      <c r="E13" s="113" t="e">
        <f>#REF!</f>
        <v>#REF!</v>
      </c>
      <c r="F13" s="196" t="s">
        <v>129</v>
      </c>
      <c r="G13" s="197" t="e">
        <f t="shared" ref="G13:G62" si="1">E13+30</f>
        <v>#REF!</v>
      </c>
      <c r="H13" s="198" t="s">
        <v>129</v>
      </c>
      <c r="I13" s="199" t="s">
        <v>129</v>
      </c>
      <c r="J13" s="200" t="s">
        <v>129</v>
      </c>
      <c r="K13" s="201" t="s">
        <v>12</v>
      </c>
      <c r="L13" s="202" t="e">
        <f t="shared" ref="L13:L62" si="2">E13+60</f>
        <v>#REF!</v>
      </c>
      <c r="M13" s="203" t="s">
        <v>129</v>
      </c>
      <c r="N13" s="204" t="s">
        <v>129</v>
      </c>
      <c r="O13" s="205" t="s">
        <v>129</v>
      </c>
      <c r="P13" s="206" t="s">
        <v>12</v>
      </c>
      <c r="Q13" s="207" t="e">
        <f t="shared" ref="Q13:Q62" si="3">E13+90</f>
        <v>#REF!</v>
      </c>
      <c r="R13" s="208" t="s">
        <v>129</v>
      </c>
      <c r="S13" s="209" t="s">
        <v>129</v>
      </c>
      <c r="T13" s="210" t="s">
        <v>129</v>
      </c>
      <c r="U13" s="211" t="s">
        <v>12</v>
      </c>
      <c r="V13" s="212" t="e">
        <f t="shared" ref="V13:V62" si="4">E13+183</f>
        <v>#REF!</v>
      </c>
      <c r="W13" s="213" t="s">
        <v>129</v>
      </c>
      <c r="X13" s="214" t="s">
        <v>129</v>
      </c>
      <c r="Y13" s="78" t="s">
        <v>129</v>
      </c>
      <c r="Z13" s="215" t="s">
        <v>12</v>
      </c>
      <c r="AA13" s="436" t="s">
        <v>129</v>
      </c>
      <c r="AB13" s="216" t="e">
        <f t="shared" ref="AB13:AB62" si="5">E13+365</f>
        <v>#REF!</v>
      </c>
      <c r="AC13" s="198" t="s">
        <v>129</v>
      </c>
      <c r="AD13" s="217" t="s">
        <v>129</v>
      </c>
      <c r="AE13" s="200" t="s">
        <v>129</v>
      </c>
      <c r="AF13" s="218" t="s">
        <v>12</v>
      </c>
      <c r="AG13" s="219">
        <v>44803</v>
      </c>
      <c r="AH13" s="220" t="s">
        <v>129</v>
      </c>
      <c r="AI13" s="221" t="s">
        <v>129</v>
      </c>
      <c r="AJ13" s="222" t="s">
        <v>129</v>
      </c>
      <c r="AK13" s="223" t="s">
        <v>12</v>
      </c>
      <c r="AL13" s="224" t="e">
        <f t="shared" ref="AL13:AL62" si="6">AG13-E13</f>
        <v>#REF!</v>
      </c>
      <c r="AM13" s="196" t="s">
        <v>129</v>
      </c>
    </row>
    <row r="14" spans="1:39" ht="39.75" customHeight="1" x14ac:dyDescent="0.25">
      <c r="A14" s="195">
        <f t="shared" si="0"/>
        <v>2</v>
      </c>
      <c r="B14" s="110" t="e">
        <f>#REF!</f>
        <v>#REF!</v>
      </c>
      <c r="C14" s="111" t="e">
        <f>#REF!</f>
        <v>#REF!</v>
      </c>
      <c r="D14" s="112" t="e">
        <f>#REF!</f>
        <v>#REF!</v>
      </c>
      <c r="E14" s="113" t="e">
        <f>#REF!</f>
        <v>#REF!</v>
      </c>
      <c r="F14" s="196" t="s">
        <v>230</v>
      </c>
      <c r="G14" s="197" t="e">
        <f t="shared" si="1"/>
        <v>#REF!</v>
      </c>
      <c r="H14" s="198" t="s">
        <v>230</v>
      </c>
      <c r="I14" s="199" t="s">
        <v>230</v>
      </c>
      <c r="J14" s="200" t="s">
        <v>230</v>
      </c>
      <c r="K14" s="201" t="s">
        <v>12</v>
      </c>
      <c r="L14" s="202" t="e">
        <f t="shared" si="2"/>
        <v>#REF!</v>
      </c>
      <c r="M14" s="203" t="s">
        <v>230</v>
      </c>
      <c r="N14" s="204" t="s">
        <v>230</v>
      </c>
      <c r="O14" s="205" t="s">
        <v>230</v>
      </c>
      <c r="P14" s="206" t="s">
        <v>12</v>
      </c>
      <c r="Q14" s="207" t="e">
        <f t="shared" si="3"/>
        <v>#REF!</v>
      </c>
      <c r="R14" s="208" t="s">
        <v>230</v>
      </c>
      <c r="S14" s="209" t="s">
        <v>230</v>
      </c>
      <c r="T14" s="210" t="s">
        <v>230</v>
      </c>
      <c r="U14" s="211" t="s">
        <v>12</v>
      </c>
      <c r="V14" s="212" t="e">
        <f t="shared" si="4"/>
        <v>#REF!</v>
      </c>
      <c r="W14" s="213" t="s">
        <v>230</v>
      </c>
      <c r="X14" s="214" t="s">
        <v>230</v>
      </c>
      <c r="Y14" s="78" t="s">
        <v>230</v>
      </c>
      <c r="Z14" s="215" t="s">
        <v>12</v>
      </c>
      <c r="AA14" s="436" t="s">
        <v>230</v>
      </c>
      <c r="AB14" s="216" t="e">
        <f t="shared" si="5"/>
        <v>#REF!</v>
      </c>
      <c r="AC14" s="198" t="s">
        <v>230</v>
      </c>
      <c r="AD14" s="217" t="s">
        <v>230</v>
      </c>
      <c r="AE14" s="200" t="s">
        <v>230</v>
      </c>
      <c r="AF14" s="218" t="s">
        <v>12</v>
      </c>
      <c r="AG14" s="219">
        <v>44803</v>
      </c>
      <c r="AH14" s="220" t="s">
        <v>230</v>
      </c>
      <c r="AI14" s="221" t="s">
        <v>230</v>
      </c>
      <c r="AJ14" s="222" t="s">
        <v>230</v>
      </c>
      <c r="AK14" s="223" t="s">
        <v>12</v>
      </c>
      <c r="AL14" s="224" t="e">
        <f t="shared" si="6"/>
        <v>#REF!</v>
      </c>
      <c r="AM14" s="196" t="s">
        <v>230</v>
      </c>
    </row>
    <row r="15" spans="1:39" ht="39.75" customHeight="1" x14ac:dyDescent="0.25">
      <c r="A15" s="195">
        <f t="shared" si="0"/>
        <v>3</v>
      </c>
      <c r="B15" s="110" t="e">
        <f>#REF!</f>
        <v>#REF!</v>
      </c>
      <c r="C15" s="111" t="e">
        <f>#REF!</f>
        <v>#REF!</v>
      </c>
      <c r="D15" s="112" t="e">
        <f>#REF!</f>
        <v>#REF!</v>
      </c>
      <c r="E15" s="113" t="e">
        <f>#REF!</f>
        <v>#REF!</v>
      </c>
      <c r="F15" s="196" t="s">
        <v>129</v>
      </c>
      <c r="G15" s="197" t="e">
        <f t="shared" si="1"/>
        <v>#REF!</v>
      </c>
      <c r="H15" s="198" t="s">
        <v>129</v>
      </c>
      <c r="I15" s="199" t="s">
        <v>129</v>
      </c>
      <c r="J15" s="200" t="s">
        <v>129</v>
      </c>
      <c r="K15" s="201" t="s">
        <v>12</v>
      </c>
      <c r="L15" s="202" t="e">
        <f t="shared" si="2"/>
        <v>#REF!</v>
      </c>
      <c r="M15" s="203" t="s">
        <v>129</v>
      </c>
      <c r="N15" s="204" t="s">
        <v>129</v>
      </c>
      <c r="O15" s="205" t="s">
        <v>129</v>
      </c>
      <c r="P15" s="206" t="s">
        <v>12</v>
      </c>
      <c r="Q15" s="207" t="e">
        <f t="shared" si="3"/>
        <v>#REF!</v>
      </c>
      <c r="R15" s="208" t="s">
        <v>129</v>
      </c>
      <c r="S15" s="209" t="s">
        <v>129</v>
      </c>
      <c r="T15" s="210" t="s">
        <v>129</v>
      </c>
      <c r="U15" s="211" t="s">
        <v>12</v>
      </c>
      <c r="V15" s="212" t="e">
        <f t="shared" si="4"/>
        <v>#REF!</v>
      </c>
      <c r="W15" s="213" t="s">
        <v>129</v>
      </c>
      <c r="X15" s="214" t="s">
        <v>129</v>
      </c>
      <c r="Y15" s="78" t="s">
        <v>129</v>
      </c>
      <c r="Z15" s="215" t="s">
        <v>12</v>
      </c>
      <c r="AA15" s="436" t="s">
        <v>129</v>
      </c>
      <c r="AB15" s="216" t="e">
        <f t="shared" si="5"/>
        <v>#REF!</v>
      </c>
      <c r="AC15" s="198" t="s">
        <v>129</v>
      </c>
      <c r="AD15" s="217" t="s">
        <v>129</v>
      </c>
      <c r="AE15" s="200" t="s">
        <v>129</v>
      </c>
      <c r="AF15" s="218" t="s">
        <v>12</v>
      </c>
      <c r="AG15" s="219">
        <v>44803</v>
      </c>
      <c r="AH15" s="220" t="s">
        <v>129</v>
      </c>
      <c r="AI15" s="221" t="s">
        <v>129</v>
      </c>
      <c r="AJ15" s="222" t="s">
        <v>129</v>
      </c>
      <c r="AK15" s="223" t="s">
        <v>12</v>
      </c>
      <c r="AL15" s="224" t="e">
        <f t="shared" si="6"/>
        <v>#REF!</v>
      </c>
      <c r="AM15" s="196" t="s">
        <v>129</v>
      </c>
    </row>
    <row r="16" spans="1:39" ht="39.75" customHeight="1" x14ac:dyDescent="0.25">
      <c r="A16" s="195">
        <f t="shared" si="0"/>
        <v>4</v>
      </c>
      <c r="B16" s="110" t="e">
        <f>#REF!</f>
        <v>#REF!</v>
      </c>
      <c r="C16" s="111" t="e">
        <f>#REF!</f>
        <v>#REF!</v>
      </c>
      <c r="D16" s="112" t="e">
        <f>#REF!</f>
        <v>#REF!</v>
      </c>
      <c r="E16" s="113" t="e">
        <f>#REF!</f>
        <v>#REF!</v>
      </c>
      <c r="F16" s="196" t="s">
        <v>230</v>
      </c>
      <c r="G16" s="197" t="e">
        <f t="shared" si="1"/>
        <v>#REF!</v>
      </c>
      <c r="H16" s="198" t="s">
        <v>230</v>
      </c>
      <c r="I16" s="199" t="s">
        <v>230</v>
      </c>
      <c r="J16" s="200" t="s">
        <v>230</v>
      </c>
      <c r="K16" s="201" t="s">
        <v>12</v>
      </c>
      <c r="L16" s="202" t="e">
        <f t="shared" si="2"/>
        <v>#REF!</v>
      </c>
      <c r="M16" s="203" t="s">
        <v>230</v>
      </c>
      <c r="N16" s="204" t="s">
        <v>230</v>
      </c>
      <c r="O16" s="205" t="s">
        <v>230</v>
      </c>
      <c r="P16" s="206" t="s">
        <v>12</v>
      </c>
      <c r="Q16" s="207" t="e">
        <f t="shared" si="3"/>
        <v>#REF!</v>
      </c>
      <c r="R16" s="208" t="s">
        <v>230</v>
      </c>
      <c r="S16" s="209" t="s">
        <v>230</v>
      </c>
      <c r="T16" s="210" t="s">
        <v>230</v>
      </c>
      <c r="U16" s="211" t="s">
        <v>12</v>
      </c>
      <c r="V16" s="212" t="e">
        <f t="shared" si="4"/>
        <v>#REF!</v>
      </c>
      <c r="W16" s="213" t="s">
        <v>230</v>
      </c>
      <c r="X16" s="214" t="s">
        <v>230</v>
      </c>
      <c r="Y16" s="78" t="s">
        <v>230</v>
      </c>
      <c r="Z16" s="215" t="s">
        <v>12</v>
      </c>
      <c r="AA16" s="436" t="s">
        <v>230</v>
      </c>
      <c r="AB16" s="216" t="e">
        <f t="shared" si="5"/>
        <v>#REF!</v>
      </c>
      <c r="AC16" s="198" t="s">
        <v>230</v>
      </c>
      <c r="AD16" s="217" t="s">
        <v>230</v>
      </c>
      <c r="AE16" s="200" t="s">
        <v>230</v>
      </c>
      <c r="AF16" s="218" t="s">
        <v>12</v>
      </c>
      <c r="AG16" s="219">
        <v>44803</v>
      </c>
      <c r="AH16" s="220" t="s">
        <v>230</v>
      </c>
      <c r="AI16" s="221" t="s">
        <v>230</v>
      </c>
      <c r="AJ16" s="222" t="s">
        <v>230</v>
      </c>
      <c r="AK16" s="223" t="s">
        <v>12</v>
      </c>
      <c r="AL16" s="224" t="e">
        <f t="shared" si="6"/>
        <v>#REF!</v>
      </c>
      <c r="AM16" s="196" t="s">
        <v>230</v>
      </c>
    </row>
    <row r="17" spans="1:39" ht="39.75" customHeight="1" x14ac:dyDescent="0.25">
      <c r="A17" s="195">
        <f t="shared" si="0"/>
        <v>5</v>
      </c>
      <c r="B17" s="110" t="e">
        <f>#REF!</f>
        <v>#REF!</v>
      </c>
      <c r="C17" s="111" t="e">
        <f>#REF!</f>
        <v>#REF!</v>
      </c>
      <c r="D17" s="112" t="e">
        <f>#REF!</f>
        <v>#REF!</v>
      </c>
      <c r="E17" s="113" t="e">
        <f>#REF!</f>
        <v>#REF!</v>
      </c>
      <c r="F17" s="196" t="s">
        <v>129</v>
      </c>
      <c r="G17" s="197" t="e">
        <f t="shared" si="1"/>
        <v>#REF!</v>
      </c>
      <c r="H17" s="198" t="s">
        <v>129</v>
      </c>
      <c r="I17" s="199" t="s">
        <v>129</v>
      </c>
      <c r="J17" s="200" t="s">
        <v>129</v>
      </c>
      <c r="K17" s="201" t="s">
        <v>12</v>
      </c>
      <c r="L17" s="202" t="e">
        <f t="shared" si="2"/>
        <v>#REF!</v>
      </c>
      <c r="M17" s="203" t="s">
        <v>129</v>
      </c>
      <c r="N17" s="204" t="s">
        <v>129</v>
      </c>
      <c r="O17" s="205" t="s">
        <v>129</v>
      </c>
      <c r="P17" s="206" t="s">
        <v>12</v>
      </c>
      <c r="Q17" s="207" t="e">
        <f t="shared" si="3"/>
        <v>#REF!</v>
      </c>
      <c r="R17" s="208" t="s">
        <v>129</v>
      </c>
      <c r="S17" s="209" t="s">
        <v>129</v>
      </c>
      <c r="T17" s="210" t="s">
        <v>129</v>
      </c>
      <c r="U17" s="211" t="s">
        <v>12</v>
      </c>
      <c r="V17" s="212" t="e">
        <f t="shared" si="4"/>
        <v>#REF!</v>
      </c>
      <c r="W17" s="213" t="s">
        <v>129</v>
      </c>
      <c r="X17" s="214" t="s">
        <v>129</v>
      </c>
      <c r="Y17" s="78" t="s">
        <v>129</v>
      </c>
      <c r="Z17" s="215" t="s">
        <v>12</v>
      </c>
      <c r="AA17" s="436" t="s">
        <v>129</v>
      </c>
      <c r="AB17" s="216" t="e">
        <f t="shared" si="5"/>
        <v>#REF!</v>
      </c>
      <c r="AC17" s="198" t="s">
        <v>129</v>
      </c>
      <c r="AD17" s="217" t="s">
        <v>129</v>
      </c>
      <c r="AE17" s="200" t="s">
        <v>129</v>
      </c>
      <c r="AF17" s="218" t="s">
        <v>12</v>
      </c>
      <c r="AG17" s="219">
        <v>44803</v>
      </c>
      <c r="AH17" s="220" t="s">
        <v>129</v>
      </c>
      <c r="AI17" s="221" t="s">
        <v>129</v>
      </c>
      <c r="AJ17" s="222" t="s">
        <v>129</v>
      </c>
      <c r="AK17" s="223" t="s">
        <v>12</v>
      </c>
      <c r="AL17" s="224" t="e">
        <f t="shared" si="6"/>
        <v>#REF!</v>
      </c>
      <c r="AM17" s="196" t="s">
        <v>129</v>
      </c>
    </row>
    <row r="18" spans="1:39" ht="39.75" customHeight="1" x14ac:dyDescent="0.25">
      <c r="A18" s="195">
        <f t="shared" si="0"/>
        <v>6</v>
      </c>
      <c r="B18" s="110" t="e">
        <f>#REF!</f>
        <v>#REF!</v>
      </c>
      <c r="C18" s="111" t="e">
        <f>#REF!</f>
        <v>#REF!</v>
      </c>
      <c r="D18" s="112" t="e">
        <f>#REF!</f>
        <v>#REF!</v>
      </c>
      <c r="E18" s="113" t="e">
        <f>#REF!</f>
        <v>#REF!</v>
      </c>
      <c r="F18" s="196" t="s">
        <v>230</v>
      </c>
      <c r="G18" s="197" t="e">
        <f t="shared" si="1"/>
        <v>#REF!</v>
      </c>
      <c r="H18" s="198" t="s">
        <v>230</v>
      </c>
      <c r="I18" s="199" t="s">
        <v>230</v>
      </c>
      <c r="J18" s="200" t="s">
        <v>230</v>
      </c>
      <c r="K18" s="201" t="s">
        <v>12</v>
      </c>
      <c r="L18" s="202" t="e">
        <f t="shared" si="2"/>
        <v>#REF!</v>
      </c>
      <c r="M18" s="203" t="s">
        <v>230</v>
      </c>
      <c r="N18" s="204" t="s">
        <v>230</v>
      </c>
      <c r="O18" s="205" t="s">
        <v>230</v>
      </c>
      <c r="P18" s="206" t="s">
        <v>12</v>
      </c>
      <c r="Q18" s="207" t="e">
        <f t="shared" si="3"/>
        <v>#REF!</v>
      </c>
      <c r="R18" s="208" t="s">
        <v>230</v>
      </c>
      <c r="S18" s="209" t="s">
        <v>230</v>
      </c>
      <c r="T18" s="210" t="s">
        <v>230</v>
      </c>
      <c r="U18" s="211" t="s">
        <v>12</v>
      </c>
      <c r="V18" s="212" t="e">
        <f t="shared" si="4"/>
        <v>#REF!</v>
      </c>
      <c r="W18" s="213" t="s">
        <v>230</v>
      </c>
      <c r="X18" s="214" t="s">
        <v>230</v>
      </c>
      <c r="Y18" s="78" t="s">
        <v>230</v>
      </c>
      <c r="Z18" s="215" t="s">
        <v>12</v>
      </c>
      <c r="AA18" s="436" t="s">
        <v>230</v>
      </c>
      <c r="AB18" s="216" t="e">
        <f t="shared" si="5"/>
        <v>#REF!</v>
      </c>
      <c r="AC18" s="198" t="s">
        <v>230</v>
      </c>
      <c r="AD18" s="217" t="s">
        <v>230</v>
      </c>
      <c r="AE18" s="200" t="s">
        <v>230</v>
      </c>
      <c r="AF18" s="218" t="s">
        <v>12</v>
      </c>
      <c r="AG18" s="219">
        <v>44803</v>
      </c>
      <c r="AH18" s="220" t="s">
        <v>230</v>
      </c>
      <c r="AI18" s="221" t="s">
        <v>230</v>
      </c>
      <c r="AJ18" s="222" t="s">
        <v>230</v>
      </c>
      <c r="AK18" s="223" t="s">
        <v>12</v>
      </c>
      <c r="AL18" s="224" t="e">
        <f t="shared" si="6"/>
        <v>#REF!</v>
      </c>
      <c r="AM18" s="196" t="s">
        <v>230</v>
      </c>
    </row>
    <row r="19" spans="1:39" ht="39.75" customHeight="1" x14ac:dyDescent="0.25">
      <c r="A19" s="195">
        <f t="shared" si="0"/>
        <v>7</v>
      </c>
      <c r="B19" s="110" t="e">
        <f>#REF!</f>
        <v>#REF!</v>
      </c>
      <c r="C19" s="111" t="e">
        <f>#REF!</f>
        <v>#REF!</v>
      </c>
      <c r="D19" s="112" t="e">
        <f>#REF!</f>
        <v>#REF!</v>
      </c>
      <c r="E19" s="113" t="e">
        <f>#REF!</f>
        <v>#REF!</v>
      </c>
      <c r="F19" s="196" t="s">
        <v>129</v>
      </c>
      <c r="G19" s="197" t="e">
        <f t="shared" si="1"/>
        <v>#REF!</v>
      </c>
      <c r="H19" s="198" t="s">
        <v>129</v>
      </c>
      <c r="I19" s="199" t="s">
        <v>129</v>
      </c>
      <c r="J19" s="200" t="s">
        <v>129</v>
      </c>
      <c r="K19" s="201" t="s">
        <v>12</v>
      </c>
      <c r="L19" s="202" t="e">
        <f t="shared" si="2"/>
        <v>#REF!</v>
      </c>
      <c r="M19" s="203" t="s">
        <v>129</v>
      </c>
      <c r="N19" s="204" t="s">
        <v>129</v>
      </c>
      <c r="O19" s="205" t="s">
        <v>129</v>
      </c>
      <c r="P19" s="206" t="s">
        <v>12</v>
      </c>
      <c r="Q19" s="207" t="e">
        <f t="shared" si="3"/>
        <v>#REF!</v>
      </c>
      <c r="R19" s="208" t="s">
        <v>129</v>
      </c>
      <c r="S19" s="209" t="s">
        <v>129</v>
      </c>
      <c r="T19" s="210" t="s">
        <v>129</v>
      </c>
      <c r="U19" s="211" t="s">
        <v>12</v>
      </c>
      <c r="V19" s="212" t="e">
        <f t="shared" si="4"/>
        <v>#REF!</v>
      </c>
      <c r="W19" s="213" t="s">
        <v>129</v>
      </c>
      <c r="X19" s="214" t="s">
        <v>129</v>
      </c>
      <c r="Y19" s="78" t="s">
        <v>129</v>
      </c>
      <c r="Z19" s="215" t="s">
        <v>12</v>
      </c>
      <c r="AA19" s="436" t="s">
        <v>129</v>
      </c>
      <c r="AB19" s="216" t="e">
        <f t="shared" si="5"/>
        <v>#REF!</v>
      </c>
      <c r="AC19" s="198" t="s">
        <v>129</v>
      </c>
      <c r="AD19" s="217" t="s">
        <v>129</v>
      </c>
      <c r="AE19" s="200" t="s">
        <v>129</v>
      </c>
      <c r="AF19" s="218" t="s">
        <v>12</v>
      </c>
      <c r="AG19" s="219">
        <v>44803</v>
      </c>
      <c r="AH19" s="220" t="s">
        <v>129</v>
      </c>
      <c r="AI19" s="221" t="s">
        <v>129</v>
      </c>
      <c r="AJ19" s="222" t="s">
        <v>129</v>
      </c>
      <c r="AK19" s="223" t="s">
        <v>12</v>
      </c>
      <c r="AL19" s="224" t="e">
        <f t="shared" si="6"/>
        <v>#REF!</v>
      </c>
      <c r="AM19" s="196" t="s">
        <v>129</v>
      </c>
    </row>
    <row r="20" spans="1:39" ht="39.75" customHeight="1" x14ac:dyDescent="0.25">
      <c r="A20" s="195">
        <f t="shared" si="0"/>
        <v>8</v>
      </c>
      <c r="B20" s="110" t="e">
        <f>#REF!</f>
        <v>#REF!</v>
      </c>
      <c r="C20" s="111" t="e">
        <f>#REF!</f>
        <v>#REF!</v>
      </c>
      <c r="D20" s="112" t="e">
        <f>#REF!</f>
        <v>#REF!</v>
      </c>
      <c r="E20" s="113" t="e">
        <f>#REF!</f>
        <v>#REF!</v>
      </c>
      <c r="F20" s="196" t="s">
        <v>230</v>
      </c>
      <c r="G20" s="197" t="e">
        <f t="shared" si="1"/>
        <v>#REF!</v>
      </c>
      <c r="H20" s="198" t="s">
        <v>230</v>
      </c>
      <c r="I20" s="199" t="s">
        <v>230</v>
      </c>
      <c r="J20" s="200" t="s">
        <v>230</v>
      </c>
      <c r="K20" s="201" t="s">
        <v>12</v>
      </c>
      <c r="L20" s="202" t="e">
        <f t="shared" si="2"/>
        <v>#REF!</v>
      </c>
      <c r="M20" s="203" t="s">
        <v>230</v>
      </c>
      <c r="N20" s="204" t="s">
        <v>230</v>
      </c>
      <c r="O20" s="205" t="s">
        <v>230</v>
      </c>
      <c r="P20" s="206" t="s">
        <v>12</v>
      </c>
      <c r="Q20" s="207" t="e">
        <f t="shared" si="3"/>
        <v>#REF!</v>
      </c>
      <c r="R20" s="208" t="s">
        <v>230</v>
      </c>
      <c r="S20" s="209" t="s">
        <v>230</v>
      </c>
      <c r="T20" s="210" t="s">
        <v>230</v>
      </c>
      <c r="U20" s="211" t="s">
        <v>12</v>
      </c>
      <c r="V20" s="212" t="e">
        <f t="shared" si="4"/>
        <v>#REF!</v>
      </c>
      <c r="W20" s="213" t="s">
        <v>230</v>
      </c>
      <c r="X20" s="214" t="s">
        <v>230</v>
      </c>
      <c r="Y20" s="78" t="s">
        <v>230</v>
      </c>
      <c r="Z20" s="215" t="s">
        <v>12</v>
      </c>
      <c r="AA20" s="436" t="s">
        <v>230</v>
      </c>
      <c r="AB20" s="216" t="e">
        <f t="shared" si="5"/>
        <v>#REF!</v>
      </c>
      <c r="AC20" s="198" t="s">
        <v>230</v>
      </c>
      <c r="AD20" s="217" t="s">
        <v>230</v>
      </c>
      <c r="AE20" s="200" t="s">
        <v>230</v>
      </c>
      <c r="AF20" s="218" t="s">
        <v>12</v>
      </c>
      <c r="AG20" s="219">
        <v>44803</v>
      </c>
      <c r="AH20" s="220" t="s">
        <v>230</v>
      </c>
      <c r="AI20" s="221" t="s">
        <v>230</v>
      </c>
      <c r="AJ20" s="222" t="s">
        <v>230</v>
      </c>
      <c r="AK20" s="223" t="s">
        <v>12</v>
      </c>
      <c r="AL20" s="224" t="e">
        <f t="shared" si="6"/>
        <v>#REF!</v>
      </c>
      <c r="AM20" s="196" t="s">
        <v>230</v>
      </c>
    </row>
    <row r="21" spans="1:39" ht="39.75" customHeight="1" x14ac:dyDescent="0.25">
      <c r="A21" s="195">
        <f t="shared" si="0"/>
        <v>9</v>
      </c>
      <c r="B21" s="110" t="e">
        <f>#REF!</f>
        <v>#REF!</v>
      </c>
      <c r="C21" s="111" t="e">
        <f>#REF!</f>
        <v>#REF!</v>
      </c>
      <c r="D21" s="112" t="e">
        <f>#REF!</f>
        <v>#REF!</v>
      </c>
      <c r="E21" s="113" t="e">
        <f>#REF!</f>
        <v>#REF!</v>
      </c>
      <c r="F21" s="196" t="s">
        <v>129</v>
      </c>
      <c r="G21" s="197" t="e">
        <f t="shared" si="1"/>
        <v>#REF!</v>
      </c>
      <c r="H21" s="198" t="s">
        <v>129</v>
      </c>
      <c r="I21" s="199" t="s">
        <v>129</v>
      </c>
      <c r="J21" s="200" t="s">
        <v>129</v>
      </c>
      <c r="K21" s="201" t="s">
        <v>12</v>
      </c>
      <c r="L21" s="202" t="e">
        <f t="shared" si="2"/>
        <v>#REF!</v>
      </c>
      <c r="M21" s="203" t="s">
        <v>129</v>
      </c>
      <c r="N21" s="204" t="s">
        <v>129</v>
      </c>
      <c r="O21" s="205" t="s">
        <v>129</v>
      </c>
      <c r="P21" s="206" t="s">
        <v>12</v>
      </c>
      <c r="Q21" s="207" t="e">
        <f t="shared" si="3"/>
        <v>#REF!</v>
      </c>
      <c r="R21" s="208" t="s">
        <v>129</v>
      </c>
      <c r="S21" s="209" t="s">
        <v>129</v>
      </c>
      <c r="T21" s="210" t="s">
        <v>129</v>
      </c>
      <c r="U21" s="211" t="s">
        <v>12</v>
      </c>
      <c r="V21" s="212" t="e">
        <f t="shared" si="4"/>
        <v>#REF!</v>
      </c>
      <c r="W21" s="213" t="s">
        <v>129</v>
      </c>
      <c r="X21" s="214" t="s">
        <v>129</v>
      </c>
      <c r="Y21" s="78" t="s">
        <v>129</v>
      </c>
      <c r="Z21" s="215" t="s">
        <v>12</v>
      </c>
      <c r="AA21" s="436" t="s">
        <v>129</v>
      </c>
      <c r="AB21" s="216" t="e">
        <f t="shared" si="5"/>
        <v>#REF!</v>
      </c>
      <c r="AC21" s="198" t="s">
        <v>129</v>
      </c>
      <c r="AD21" s="217" t="s">
        <v>129</v>
      </c>
      <c r="AE21" s="200" t="s">
        <v>129</v>
      </c>
      <c r="AF21" s="218" t="s">
        <v>12</v>
      </c>
      <c r="AG21" s="219">
        <v>44803</v>
      </c>
      <c r="AH21" s="220" t="s">
        <v>129</v>
      </c>
      <c r="AI21" s="221" t="s">
        <v>129</v>
      </c>
      <c r="AJ21" s="222" t="s">
        <v>129</v>
      </c>
      <c r="AK21" s="223" t="s">
        <v>12</v>
      </c>
      <c r="AL21" s="224" t="e">
        <f t="shared" si="6"/>
        <v>#REF!</v>
      </c>
      <c r="AM21" s="196" t="s">
        <v>129</v>
      </c>
    </row>
    <row r="22" spans="1:39" ht="39.75" customHeight="1" x14ac:dyDescent="0.25">
      <c r="A22" s="195">
        <f t="shared" si="0"/>
        <v>10</v>
      </c>
      <c r="B22" s="110" t="e">
        <f>#REF!</f>
        <v>#REF!</v>
      </c>
      <c r="C22" s="111" t="e">
        <f>#REF!</f>
        <v>#REF!</v>
      </c>
      <c r="D22" s="112" t="e">
        <f>#REF!</f>
        <v>#REF!</v>
      </c>
      <c r="E22" s="113" t="e">
        <f>#REF!</f>
        <v>#REF!</v>
      </c>
      <c r="F22" s="196" t="s">
        <v>230</v>
      </c>
      <c r="G22" s="197" t="e">
        <f t="shared" si="1"/>
        <v>#REF!</v>
      </c>
      <c r="H22" s="198" t="s">
        <v>230</v>
      </c>
      <c r="I22" s="199" t="s">
        <v>230</v>
      </c>
      <c r="J22" s="200" t="s">
        <v>230</v>
      </c>
      <c r="K22" s="201" t="s">
        <v>12</v>
      </c>
      <c r="L22" s="202" t="e">
        <f t="shared" si="2"/>
        <v>#REF!</v>
      </c>
      <c r="M22" s="203" t="s">
        <v>230</v>
      </c>
      <c r="N22" s="204" t="s">
        <v>230</v>
      </c>
      <c r="O22" s="205" t="s">
        <v>230</v>
      </c>
      <c r="P22" s="206" t="s">
        <v>12</v>
      </c>
      <c r="Q22" s="207" t="e">
        <f t="shared" si="3"/>
        <v>#REF!</v>
      </c>
      <c r="R22" s="208" t="s">
        <v>230</v>
      </c>
      <c r="S22" s="209" t="s">
        <v>230</v>
      </c>
      <c r="T22" s="210" t="s">
        <v>230</v>
      </c>
      <c r="U22" s="211" t="s">
        <v>12</v>
      </c>
      <c r="V22" s="212" t="e">
        <f t="shared" si="4"/>
        <v>#REF!</v>
      </c>
      <c r="W22" s="213" t="s">
        <v>230</v>
      </c>
      <c r="X22" s="214" t="s">
        <v>230</v>
      </c>
      <c r="Y22" s="78" t="s">
        <v>230</v>
      </c>
      <c r="Z22" s="215" t="s">
        <v>12</v>
      </c>
      <c r="AA22" s="436" t="s">
        <v>230</v>
      </c>
      <c r="AB22" s="216" t="e">
        <f t="shared" si="5"/>
        <v>#REF!</v>
      </c>
      <c r="AC22" s="198" t="s">
        <v>230</v>
      </c>
      <c r="AD22" s="217" t="s">
        <v>230</v>
      </c>
      <c r="AE22" s="200" t="s">
        <v>230</v>
      </c>
      <c r="AF22" s="218" t="s">
        <v>12</v>
      </c>
      <c r="AG22" s="219">
        <v>44803</v>
      </c>
      <c r="AH22" s="220" t="s">
        <v>230</v>
      </c>
      <c r="AI22" s="221" t="s">
        <v>230</v>
      </c>
      <c r="AJ22" s="222" t="s">
        <v>230</v>
      </c>
      <c r="AK22" s="223" t="s">
        <v>12</v>
      </c>
      <c r="AL22" s="224" t="e">
        <f t="shared" si="6"/>
        <v>#REF!</v>
      </c>
      <c r="AM22" s="196" t="s">
        <v>230</v>
      </c>
    </row>
    <row r="23" spans="1:39" ht="39.75" customHeight="1" x14ac:dyDescent="0.25">
      <c r="A23" s="195">
        <f t="shared" si="0"/>
        <v>11</v>
      </c>
      <c r="B23" s="110" t="e">
        <f>#REF!</f>
        <v>#REF!</v>
      </c>
      <c r="C23" s="111" t="e">
        <f>#REF!</f>
        <v>#REF!</v>
      </c>
      <c r="D23" s="112" t="e">
        <f>#REF!</f>
        <v>#REF!</v>
      </c>
      <c r="E23" s="113" t="e">
        <f>#REF!</f>
        <v>#REF!</v>
      </c>
      <c r="F23" s="196" t="s">
        <v>129</v>
      </c>
      <c r="G23" s="197" t="e">
        <f t="shared" si="1"/>
        <v>#REF!</v>
      </c>
      <c r="H23" s="198" t="s">
        <v>129</v>
      </c>
      <c r="I23" s="199" t="s">
        <v>129</v>
      </c>
      <c r="J23" s="200" t="s">
        <v>129</v>
      </c>
      <c r="K23" s="201" t="s">
        <v>12</v>
      </c>
      <c r="L23" s="202" t="e">
        <f t="shared" si="2"/>
        <v>#REF!</v>
      </c>
      <c r="M23" s="203" t="s">
        <v>129</v>
      </c>
      <c r="N23" s="204" t="s">
        <v>129</v>
      </c>
      <c r="O23" s="205" t="s">
        <v>129</v>
      </c>
      <c r="P23" s="206" t="s">
        <v>12</v>
      </c>
      <c r="Q23" s="207" t="e">
        <f t="shared" si="3"/>
        <v>#REF!</v>
      </c>
      <c r="R23" s="208" t="s">
        <v>129</v>
      </c>
      <c r="S23" s="209" t="s">
        <v>129</v>
      </c>
      <c r="T23" s="210" t="s">
        <v>129</v>
      </c>
      <c r="U23" s="211" t="s">
        <v>12</v>
      </c>
      <c r="V23" s="212" t="e">
        <f t="shared" si="4"/>
        <v>#REF!</v>
      </c>
      <c r="W23" s="213" t="s">
        <v>129</v>
      </c>
      <c r="X23" s="214" t="s">
        <v>129</v>
      </c>
      <c r="Y23" s="78" t="s">
        <v>129</v>
      </c>
      <c r="Z23" s="215" t="s">
        <v>12</v>
      </c>
      <c r="AA23" s="436" t="s">
        <v>129</v>
      </c>
      <c r="AB23" s="216" t="e">
        <f t="shared" si="5"/>
        <v>#REF!</v>
      </c>
      <c r="AC23" s="198" t="s">
        <v>129</v>
      </c>
      <c r="AD23" s="217" t="s">
        <v>129</v>
      </c>
      <c r="AE23" s="200" t="s">
        <v>129</v>
      </c>
      <c r="AF23" s="218" t="s">
        <v>12</v>
      </c>
      <c r="AG23" s="219">
        <v>44803</v>
      </c>
      <c r="AH23" s="220" t="s">
        <v>129</v>
      </c>
      <c r="AI23" s="221" t="s">
        <v>129</v>
      </c>
      <c r="AJ23" s="222" t="s">
        <v>129</v>
      </c>
      <c r="AK23" s="223" t="s">
        <v>12</v>
      </c>
      <c r="AL23" s="224" t="e">
        <f t="shared" si="6"/>
        <v>#REF!</v>
      </c>
      <c r="AM23" s="196" t="s">
        <v>129</v>
      </c>
    </row>
    <row r="24" spans="1:39" ht="39.75" customHeight="1" x14ac:dyDescent="0.25">
      <c r="A24" s="195">
        <f t="shared" si="0"/>
        <v>12</v>
      </c>
      <c r="B24" s="110" t="e">
        <f>#REF!</f>
        <v>#REF!</v>
      </c>
      <c r="C24" s="111" t="e">
        <f>#REF!</f>
        <v>#REF!</v>
      </c>
      <c r="D24" s="112" t="e">
        <f>#REF!</f>
        <v>#REF!</v>
      </c>
      <c r="E24" s="113" t="e">
        <f>#REF!</f>
        <v>#REF!</v>
      </c>
      <c r="F24" s="196" t="s">
        <v>230</v>
      </c>
      <c r="G24" s="197" t="e">
        <f t="shared" si="1"/>
        <v>#REF!</v>
      </c>
      <c r="H24" s="198" t="s">
        <v>230</v>
      </c>
      <c r="I24" s="199" t="s">
        <v>230</v>
      </c>
      <c r="J24" s="200" t="s">
        <v>230</v>
      </c>
      <c r="K24" s="201" t="s">
        <v>12</v>
      </c>
      <c r="L24" s="202" t="e">
        <f t="shared" si="2"/>
        <v>#REF!</v>
      </c>
      <c r="M24" s="203" t="s">
        <v>230</v>
      </c>
      <c r="N24" s="204" t="s">
        <v>230</v>
      </c>
      <c r="O24" s="205" t="s">
        <v>230</v>
      </c>
      <c r="P24" s="206" t="s">
        <v>12</v>
      </c>
      <c r="Q24" s="207" t="e">
        <f t="shared" si="3"/>
        <v>#REF!</v>
      </c>
      <c r="R24" s="208" t="s">
        <v>230</v>
      </c>
      <c r="S24" s="209" t="s">
        <v>230</v>
      </c>
      <c r="T24" s="210" t="s">
        <v>230</v>
      </c>
      <c r="U24" s="211" t="s">
        <v>12</v>
      </c>
      <c r="V24" s="212" t="e">
        <f t="shared" si="4"/>
        <v>#REF!</v>
      </c>
      <c r="W24" s="213" t="s">
        <v>230</v>
      </c>
      <c r="X24" s="214" t="s">
        <v>230</v>
      </c>
      <c r="Y24" s="78" t="s">
        <v>230</v>
      </c>
      <c r="Z24" s="215" t="s">
        <v>12</v>
      </c>
      <c r="AA24" s="436" t="s">
        <v>230</v>
      </c>
      <c r="AB24" s="216" t="e">
        <f t="shared" si="5"/>
        <v>#REF!</v>
      </c>
      <c r="AC24" s="198" t="s">
        <v>230</v>
      </c>
      <c r="AD24" s="217" t="s">
        <v>230</v>
      </c>
      <c r="AE24" s="200" t="s">
        <v>230</v>
      </c>
      <c r="AF24" s="218" t="s">
        <v>12</v>
      </c>
      <c r="AG24" s="219">
        <v>44803</v>
      </c>
      <c r="AH24" s="220" t="s">
        <v>230</v>
      </c>
      <c r="AI24" s="221" t="s">
        <v>230</v>
      </c>
      <c r="AJ24" s="222" t="s">
        <v>230</v>
      </c>
      <c r="AK24" s="223" t="s">
        <v>12</v>
      </c>
      <c r="AL24" s="224" t="e">
        <f t="shared" si="6"/>
        <v>#REF!</v>
      </c>
      <c r="AM24" s="196" t="s">
        <v>230</v>
      </c>
    </row>
    <row r="25" spans="1:39" ht="39.75" customHeight="1" x14ac:dyDescent="0.25">
      <c r="A25" s="195">
        <f t="shared" si="0"/>
        <v>13</v>
      </c>
      <c r="B25" s="110" t="e">
        <f>#REF!</f>
        <v>#REF!</v>
      </c>
      <c r="C25" s="111" t="e">
        <f>#REF!</f>
        <v>#REF!</v>
      </c>
      <c r="D25" s="112" t="e">
        <f>#REF!</f>
        <v>#REF!</v>
      </c>
      <c r="E25" s="113" t="e">
        <f>#REF!</f>
        <v>#REF!</v>
      </c>
      <c r="F25" s="196" t="s">
        <v>129</v>
      </c>
      <c r="G25" s="197" t="e">
        <f t="shared" si="1"/>
        <v>#REF!</v>
      </c>
      <c r="H25" s="198" t="s">
        <v>129</v>
      </c>
      <c r="I25" s="199" t="s">
        <v>129</v>
      </c>
      <c r="J25" s="200" t="s">
        <v>129</v>
      </c>
      <c r="K25" s="201" t="s">
        <v>12</v>
      </c>
      <c r="L25" s="202" t="e">
        <f t="shared" si="2"/>
        <v>#REF!</v>
      </c>
      <c r="M25" s="203" t="s">
        <v>129</v>
      </c>
      <c r="N25" s="204" t="s">
        <v>129</v>
      </c>
      <c r="O25" s="205" t="s">
        <v>129</v>
      </c>
      <c r="P25" s="206" t="s">
        <v>12</v>
      </c>
      <c r="Q25" s="207" t="e">
        <f t="shared" si="3"/>
        <v>#REF!</v>
      </c>
      <c r="R25" s="208" t="s">
        <v>129</v>
      </c>
      <c r="S25" s="209" t="s">
        <v>129</v>
      </c>
      <c r="T25" s="210" t="s">
        <v>129</v>
      </c>
      <c r="U25" s="211" t="s">
        <v>12</v>
      </c>
      <c r="V25" s="212" t="e">
        <f t="shared" si="4"/>
        <v>#REF!</v>
      </c>
      <c r="W25" s="213" t="s">
        <v>129</v>
      </c>
      <c r="X25" s="214" t="s">
        <v>129</v>
      </c>
      <c r="Y25" s="78" t="s">
        <v>129</v>
      </c>
      <c r="Z25" s="215" t="s">
        <v>12</v>
      </c>
      <c r="AA25" s="436" t="s">
        <v>129</v>
      </c>
      <c r="AB25" s="216" t="e">
        <f t="shared" si="5"/>
        <v>#REF!</v>
      </c>
      <c r="AC25" s="198" t="s">
        <v>129</v>
      </c>
      <c r="AD25" s="217" t="s">
        <v>129</v>
      </c>
      <c r="AE25" s="200" t="s">
        <v>129</v>
      </c>
      <c r="AF25" s="218" t="s">
        <v>12</v>
      </c>
      <c r="AG25" s="219">
        <v>44803</v>
      </c>
      <c r="AH25" s="220" t="s">
        <v>129</v>
      </c>
      <c r="AI25" s="221" t="s">
        <v>129</v>
      </c>
      <c r="AJ25" s="222" t="s">
        <v>129</v>
      </c>
      <c r="AK25" s="223" t="s">
        <v>12</v>
      </c>
      <c r="AL25" s="224" t="e">
        <f t="shared" si="6"/>
        <v>#REF!</v>
      </c>
      <c r="AM25" s="196" t="s">
        <v>129</v>
      </c>
    </row>
    <row r="26" spans="1:39" ht="39.75" customHeight="1" x14ac:dyDescent="0.25">
      <c r="A26" s="195">
        <f t="shared" si="0"/>
        <v>14</v>
      </c>
      <c r="B26" s="110" t="e">
        <f>#REF!</f>
        <v>#REF!</v>
      </c>
      <c r="C26" s="111" t="e">
        <f>#REF!</f>
        <v>#REF!</v>
      </c>
      <c r="D26" s="112" t="e">
        <f>#REF!</f>
        <v>#REF!</v>
      </c>
      <c r="E26" s="113" t="e">
        <f>#REF!</f>
        <v>#REF!</v>
      </c>
      <c r="F26" s="196" t="s">
        <v>230</v>
      </c>
      <c r="G26" s="197" t="e">
        <f t="shared" si="1"/>
        <v>#REF!</v>
      </c>
      <c r="H26" s="198" t="s">
        <v>230</v>
      </c>
      <c r="I26" s="199" t="s">
        <v>230</v>
      </c>
      <c r="J26" s="200" t="s">
        <v>230</v>
      </c>
      <c r="K26" s="201" t="s">
        <v>12</v>
      </c>
      <c r="L26" s="202" t="e">
        <f t="shared" si="2"/>
        <v>#REF!</v>
      </c>
      <c r="M26" s="203" t="s">
        <v>230</v>
      </c>
      <c r="N26" s="204" t="s">
        <v>230</v>
      </c>
      <c r="O26" s="205" t="s">
        <v>230</v>
      </c>
      <c r="P26" s="206" t="s">
        <v>12</v>
      </c>
      <c r="Q26" s="207" t="e">
        <f t="shared" si="3"/>
        <v>#REF!</v>
      </c>
      <c r="R26" s="208" t="s">
        <v>230</v>
      </c>
      <c r="S26" s="209" t="s">
        <v>230</v>
      </c>
      <c r="T26" s="210" t="s">
        <v>230</v>
      </c>
      <c r="U26" s="211" t="s">
        <v>12</v>
      </c>
      <c r="V26" s="212" t="e">
        <f t="shared" si="4"/>
        <v>#REF!</v>
      </c>
      <c r="W26" s="213" t="s">
        <v>230</v>
      </c>
      <c r="X26" s="214" t="s">
        <v>230</v>
      </c>
      <c r="Y26" s="78" t="s">
        <v>230</v>
      </c>
      <c r="Z26" s="215" t="s">
        <v>12</v>
      </c>
      <c r="AA26" s="436" t="s">
        <v>230</v>
      </c>
      <c r="AB26" s="216" t="e">
        <f t="shared" si="5"/>
        <v>#REF!</v>
      </c>
      <c r="AC26" s="198" t="s">
        <v>230</v>
      </c>
      <c r="AD26" s="217" t="s">
        <v>230</v>
      </c>
      <c r="AE26" s="200" t="s">
        <v>230</v>
      </c>
      <c r="AF26" s="218" t="s">
        <v>12</v>
      </c>
      <c r="AG26" s="219">
        <v>44803</v>
      </c>
      <c r="AH26" s="220" t="s">
        <v>230</v>
      </c>
      <c r="AI26" s="221" t="s">
        <v>230</v>
      </c>
      <c r="AJ26" s="222" t="s">
        <v>230</v>
      </c>
      <c r="AK26" s="223" t="s">
        <v>12</v>
      </c>
      <c r="AL26" s="224" t="e">
        <f t="shared" si="6"/>
        <v>#REF!</v>
      </c>
      <c r="AM26" s="196" t="s">
        <v>230</v>
      </c>
    </row>
    <row r="27" spans="1:39" ht="39.75" customHeight="1" x14ac:dyDescent="0.25">
      <c r="A27" s="195">
        <f t="shared" si="0"/>
        <v>15</v>
      </c>
      <c r="B27" s="110" t="e">
        <f>#REF!</f>
        <v>#REF!</v>
      </c>
      <c r="C27" s="111" t="e">
        <f>#REF!</f>
        <v>#REF!</v>
      </c>
      <c r="D27" s="112" t="e">
        <f>#REF!</f>
        <v>#REF!</v>
      </c>
      <c r="E27" s="113" t="e">
        <f>#REF!</f>
        <v>#REF!</v>
      </c>
      <c r="F27" s="196" t="s">
        <v>129</v>
      </c>
      <c r="G27" s="197" t="e">
        <f t="shared" si="1"/>
        <v>#REF!</v>
      </c>
      <c r="H27" s="198" t="s">
        <v>129</v>
      </c>
      <c r="I27" s="199" t="s">
        <v>129</v>
      </c>
      <c r="J27" s="200" t="s">
        <v>129</v>
      </c>
      <c r="K27" s="201" t="s">
        <v>12</v>
      </c>
      <c r="L27" s="202" t="e">
        <f t="shared" si="2"/>
        <v>#REF!</v>
      </c>
      <c r="M27" s="203" t="s">
        <v>129</v>
      </c>
      <c r="N27" s="204" t="s">
        <v>129</v>
      </c>
      <c r="O27" s="205" t="s">
        <v>129</v>
      </c>
      <c r="P27" s="206" t="s">
        <v>12</v>
      </c>
      <c r="Q27" s="207" t="e">
        <f t="shared" si="3"/>
        <v>#REF!</v>
      </c>
      <c r="R27" s="208" t="s">
        <v>129</v>
      </c>
      <c r="S27" s="209" t="s">
        <v>129</v>
      </c>
      <c r="T27" s="210" t="s">
        <v>129</v>
      </c>
      <c r="U27" s="211" t="s">
        <v>12</v>
      </c>
      <c r="V27" s="212" t="e">
        <f t="shared" si="4"/>
        <v>#REF!</v>
      </c>
      <c r="W27" s="213" t="s">
        <v>129</v>
      </c>
      <c r="X27" s="214" t="s">
        <v>129</v>
      </c>
      <c r="Y27" s="78" t="s">
        <v>129</v>
      </c>
      <c r="Z27" s="215" t="s">
        <v>12</v>
      </c>
      <c r="AA27" s="436" t="s">
        <v>129</v>
      </c>
      <c r="AB27" s="216" t="e">
        <f t="shared" si="5"/>
        <v>#REF!</v>
      </c>
      <c r="AC27" s="198" t="s">
        <v>129</v>
      </c>
      <c r="AD27" s="217" t="s">
        <v>129</v>
      </c>
      <c r="AE27" s="200" t="s">
        <v>129</v>
      </c>
      <c r="AF27" s="218" t="s">
        <v>12</v>
      </c>
      <c r="AG27" s="219">
        <v>44803</v>
      </c>
      <c r="AH27" s="220" t="s">
        <v>129</v>
      </c>
      <c r="AI27" s="221" t="s">
        <v>129</v>
      </c>
      <c r="AJ27" s="222" t="s">
        <v>129</v>
      </c>
      <c r="AK27" s="223" t="s">
        <v>12</v>
      </c>
      <c r="AL27" s="224" t="e">
        <f t="shared" si="6"/>
        <v>#REF!</v>
      </c>
      <c r="AM27" s="196" t="s">
        <v>129</v>
      </c>
    </row>
    <row r="28" spans="1:39" ht="39.75" customHeight="1" x14ac:dyDescent="0.25">
      <c r="A28" s="195">
        <f t="shared" si="0"/>
        <v>16</v>
      </c>
      <c r="B28" s="110" t="e">
        <f>#REF!</f>
        <v>#REF!</v>
      </c>
      <c r="C28" s="111" t="e">
        <f>#REF!</f>
        <v>#REF!</v>
      </c>
      <c r="D28" s="112" t="e">
        <f>#REF!</f>
        <v>#REF!</v>
      </c>
      <c r="E28" s="113" t="e">
        <f>#REF!</f>
        <v>#REF!</v>
      </c>
      <c r="F28" s="196" t="s">
        <v>230</v>
      </c>
      <c r="G28" s="197" t="e">
        <f t="shared" si="1"/>
        <v>#REF!</v>
      </c>
      <c r="H28" s="198" t="s">
        <v>230</v>
      </c>
      <c r="I28" s="199" t="s">
        <v>230</v>
      </c>
      <c r="J28" s="200" t="s">
        <v>230</v>
      </c>
      <c r="K28" s="201" t="s">
        <v>12</v>
      </c>
      <c r="L28" s="202" t="e">
        <f t="shared" si="2"/>
        <v>#REF!</v>
      </c>
      <c r="M28" s="203" t="s">
        <v>230</v>
      </c>
      <c r="N28" s="204" t="s">
        <v>230</v>
      </c>
      <c r="O28" s="205" t="s">
        <v>230</v>
      </c>
      <c r="P28" s="206" t="s">
        <v>12</v>
      </c>
      <c r="Q28" s="207" t="e">
        <f t="shared" si="3"/>
        <v>#REF!</v>
      </c>
      <c r="R28" s="208" t="s">
        <v>230</v>
      </c>
      <c r="S28" s="209" t="s">
        <v>230</v>
      </c>
      <c r="T28" s="210" t="s">
        <v>230</v>
      </c>
      <c r="U28" s="211" t="s">
        <v>12</v>
      </c>
      <c r="V28" s="212" t="e">
        <f t="shared" si="4"/>
        <v>#REF!</v>
      </c>
      <c r="W28" s="213" t="s">
        <v>230</v>
      </c>
      <c r="X28" s="214" t="s">
        <v>230</v>
      </c>
      <c r="Y28" s="78" t="s">
        <v>230</v>
      </c>
      <c r="Z28" s="215" t="s">
        <v>12</v>
      </c>
      <c r="AA28" s="436" t="s">
        <v>230</v>
      </c>
      <c r="AB28" s="216" t="e">
        <f t="shared" si="5"/>
        <v>#REF!</v>
      </c>
      <c r="AC28" s="198" t="s">
        <v>230</v>
      </c>
      <c r="AD28" s="217" t="s">
        <v>230</v>
      </c>
      <c r="AE28" s="200" t="s">
        <v>230</v>
      </c>
      <c r="AF28" s="218" t="s">
        <v>12</v>
      </c>
      <c r="AG28" s="219">
        <v>44803</v>
      </c>
      <c r="AH28" s="220" t="s">
        <v>230</v>
      </c>
      <c r="AI28" s="221" t="s">
        <v>230</v>
      </c>
      <c r="AJ28" s="222" t="s">
        <v>230</v>
      </c>
      <c r="AK28" s="223" t="s">
        <v>12</v>
      </c>
      <c r="AL28" s="224" t="e">
        <f t="shared" si="6"/>
        <v>#REF!</v>
      </c>
      <c r="AM28" s="196" t="s">
        <v>230</v>
      </c>
    </row>
    <row r="29" spans="1:39" ht="39.75" customHeight="1" x14ac:dyDescent="0.25">
      <c r="A29" s="195">
        <f t="shared" si="0"/>
        <v>17</v>
      </c>
      <c r="B29" s="110" t="e">
        <f>#REF!</f>
        <v>#REF!</v>
      </c>
      <c r="C29" s="111" t="e">
        <f>#REF!</f>
        <v>#REF!</v>
      </c>
      <c r="D29" s="112" t="e">
        <f>#REF!</f>
        <v>#REF!</v>
      </c>
      <c r="E29" s="113" t="e">
        <f>#REF!</f>
        <v>#REF!</v>
      </c>
      <c r="F29" s="196" t="s">
        <v>129</v>
      </c>
      <c r="G29" s="197" t="e">
        <f t="shared" si="1"/>
        <v>#REF!</v>
      </c>
      <c r="H29" s="198" t="s">
        <v>129</v>
      </c>
      <c r="I29" s="199" t="s">
        <v>129</v>
      </c>
      <c r="J29" s="200" t="s">
        <v>129</v>
      </c>
      <c r="K29" s="201" t="s">
        <v>12</v>
      </c>
      <c r="L29" s="202" t="e">
        <f t="shared" si="2"/>
        <v>#REF!</v>
      </c>
      <c r="M29" s="203" t="s">
        <v>129</v>
      </c>
      <c r="N29" s="204" t="s">
        <v>129</v>
      </c>
      <c r="O29" s="205" t="s">
        <v>129</v>
      </c>
      <c r="P29" s="206" t="s">
        <v>12</v>
      </c>
      <c r="Q29" s="207" t="e">
        <f t="shared" si="3"/>
        <v>#REF!</v>
      </c>
      <c r="R29" s="208" t="s">
        <v>129</v>
      </c>
      <c r="S29" s="209" t="s">
        <v>129</v>
      </c>
      <c r="T29" s="210" t="s">
        <v>129</v>
      </c>
      <c r="U29" s="211" t="s">
        <v>12</v>
      </c>
      <c r="V29" s="212" t="e">
        <f t="shared" si="4"/>
        <v>#REF!</v>
      </c>
      <c r="W29" s="213" t="s">
        <v>129</v>
      </c>
      <c r="X29" s="214" t="s">
        <v>129</v>
      </c>
      <c r="Y29" s="78" t="s">
        <v>129</v>
      </c>
      <c r="Z29" s="215" t="s">
        <v>12</v>
      </c>
      <c r="AA29" s="436" t="s">
        <v>129</v>
      </c>
      <c r="AB29" s="216" t="e">
        <f t="shared" si="5"/>
        <v>#REF!</v>
      </c>
      <c r="AC29" s="198" t="s">
        <v>129</v>
      </c>
      <c r="AD29" s="217" t="s">
        <v>129</v>
      </c>
      <c r="AE29" s="200" t="s">
        <v>129</v>
      </c>
      <c r="AF29" s="218" t="s">
        <v>12</v>
      </c>
      <c r="AG29" s="219">
        <v>44803</v>
      </c>
      <c r="AH29" s="220" t="s">
        <v>129</v>
      </c>
      <c r="AI29" s="221" t="s">
        <v>129</v>
      </c>
      <c r="AJ29" s="222" t="s">
        <v>129</v>
      </c>
      <c r="AK29" s="223" t="s">
        <v>12</v>
      </c>
      <c r="AL29" s="224" t="e">
        <f t="shared" si="6"/>
        <v>#REF!</v>
      </c>
      <c r="AM29" s="196" t="s">
        <v>129</v>
      </c>
    </row>
    <row r="30" spans="1:39" ht="39.75" customHeight="1" x14ac:dyDescent="0.25">
      <c r="A30" s="195">
        <f t="shared" si="0"/>
        <v>18</v>
      </c>
      <c r="B30" s="110" t="e">
        <f>#REF!</f>
        <v>#REF!</v>
      </c>
      <c r="C30" s="111" t="e">
        <f>#REF!</f>
        <v>#REF!</v>
      </c>
      <c r="D30" s="112" t="e">
        <f>#REF!</f>
        <v>#REF!</v>
      </c>
      <c r="E30" s="113" t="e">
        <f>#REF!</f>
        <v>#REF!</v>
      </c>
      <c r="F30" s="196" t="s">
        <v>230</v>
      </c>
      <c r="G30" s="197" t="e">
        <f t="shared" si="1"/>
        <v>#REF!</v>
      </c>
      <c r="H30" s="198" t="s">
        <v>230</v>
      </c>
      <c r="I30" s="199" t="s">
        <v>230</v>
      </c>
      <c r="J30" s="200" t="s">
        <v>230</v>
      </c>
      <c r="K30" s="201" t="s">
        <v>12</v>
      </c>
      <c r="L30" s="202" t="e">
        <f t="shared" si="2"/>
        <v>#REF!</v>
      </c>
      <c r="M30" s="203" t="s">
        <v>230</v>
      </c>
      <c r="N30" s="204" t="s">
        <v>230</v>
      </c>
      <c r="O30" s="205" t="s">
        <v>230</v>
      </c>
      <c r="P30" s="206" t="s">
        <v>12</v>
      </c>
      <c r="Q30" s="207" t="e">
        <f t="shared" si="3"/>
        <v>#REF!</v>
      </c>
      <c r="R30" s="208" t="s">
        <v>230</v>
      </c>
      <c r="S30" s="209" t="s">
        <v>230</v>
      </c>
      <c r="T30" s="210" t="s">
        <v>230</v>
      </c>
      <c r="U30" s="211" t="s">
        <v>12</v>
      </c>
      <c r="V30" s="212" t="e">
        <f t="shared" si="4"/>
        <v>#REF!</v>
      </c>
      <c r="W30" s="213" t="s">
        <v>230</v>
      </c>
      <c r="X30" s="214" t="s">
        <v>230</v>
      </c>
      <c r="Y30" s="78" t="s">
        <v>230</v>
      </c>
      <c r="Z30" s="215" t="s">
        <v>12</v>
      </c>
      <c r="AA30" s="436" t="s">
        <v>230</v>
      </c>
      <c r="AB30" s="216" t="e">
        <f t="shared" si="5"/>
        <v>#REF!</v>
      </c>
      <c r="AC30" s="198" t="s">
        <v>230</v>
      </c>
      <c r="AD30" s="217" t="s">
        <v>230</v>
      </c>
      <c r="AE30" s="200" t="s">
        <v>230</v>
      </c>
      <c r="AF30" s="218" t="s">
        <v>12</v>
      </c>
      <c r="AG30" s="219">
        <v>44803</v>
      </c>
      <c r="AH30" s="220" t="s">
        <v>230</v>
      </c>
      <c r="AI30" s="221" t="s">
        <v>230</v>
      </c>
      <c r="AJ30" s="222" t="s">
        <v>230</v>
      </c>
      <c r="AK30" s="223" t="s">
        <v>12</v>
      </c>
      <c r="AL30" s="224" t="e">
        <f t="shared" si="6"/>
        <v>#REF!</v>
      </c>
      <c r="AM30" s="196" t="s">
        <v>230</v>
      </c>
    </row>
    <row r="31" spans="1:39" ht="39.75" customHeight="1" x14ac:dyDescent="0.25">
      <c r="A31" s="195">
        <f t="shared" si="0"/>
        <v>19</v>
      </c>
      <c r="B31" s="110" t="e">
        <f>#REF!</f>
        <v>#REF!</v>
      </c>
      <c r="C31" s="111" t="e">
        <f>#REF!</f>
        <v>#REF!</v>
      </c>
      <c r="D31" s="112" t="e">
        <f>#REF!</f>
        <v>#REF!</v>
      </c>
      <c r="E31" s="113" t="e">
        <f>#REF!</f>
        <v>#REF!</v>
      </c>
      <c r="F31" s="196" t="s">
        <v>129</v>
      </c>
      <c r="G31" s="197" t="e">
        <f t="shared" si="1"/>
        <v>#REF!</v>
      </c>
      <c r="H31" s="198" t="s">
        <v>129</v>
      </c>
      <c r="I31" s="199" t="s">
        <v>129</v>
      </c>
      <c r="J31" s="200" t="s">
        <v>129</v>
      </c>
      <c r="K31" s="201" t="s">
        <v>12</v>
      </c>
      <c r="L31" s="202" t="e">
        <f t="shared" si="2"/>
        <v>#REF!</v>
      </c>
      <c r="M31" s="203" t="s">
        <v>129</v>
      </c>
      <c r="N31" s="204" t="s">
        <v>129</v>
      </c>
      <c r="O31" s="205" t="s">
        <v>129</v>
      </c>
      <c r="P31" s="206" t="s">
        <v>12</v>
      </c>
      <c r="Q31" s="207" t="e">
        <f t="shared" si="3"/>
        <v>#REF!</v>
      </c>
      <c r="R31" s="208" t="s">
        <v>129</v>
      </c>
      <c r="S31" s="209" t="s">
        <v>129</v>
      </c>
      <c r="T31" s="210" t="s">
        <v>129</v>
      </c>
      <c r="U31" s="211" t="s">
        <v>12</v>
      </c>
      <c r="V31" s="212" t="e">
        <f t="shared" si="4"/>
        <v>#REF!</v>
      </c>
      <c r="W31" s="213" t="s">
        <v>129</v>
      </c>
      <c r="X31" s="214" t="s">
        <v>129</v>
      </c>
      <c r="Y31" s="78" t="s">
        <v>129</v>
      </c>
      <c r="Z31" s="215" t="s">
        <v>12</v>
      </c>
      <c r="AA31" s="436" t="s">
        <v>129</v>
      </c>
      <c r="AB31" s="216" t="e">
        <f t="shared" si="5"/>
        <v>#REF!</v>
      </c>
      <c r="AC31" s="198" t="s">
        <v>129</v>
      </c>
      <c r="AD31" s="217" t="s">
        <v>129</v>
      </c>
      <c r="AE31" s="200" t="s">
        <v>129</v>
      </c>
      <c r="AF31" s="218" t="s">
        <v>12</v>
      </c>
      <c r="AG31" s="219">
        <v>44803</v>
      </c>
      <c r="AH31" s="220" t="s">
        <v>129</v>
      </c>
      <c r="AI31" s="221" t="s">
        <v>129</v>
      </c>
      <c r="AJ31" s="222" t="s">
        <v>129</v>
      </c>
      <c r="AK31" s="223" t="s">
        <v>12</v>
      </c>
      <c r="AL31" s="224" t="e">
        <f t="shared" si="6"/>
        <v>#REF!</v>
      </c>
      <c r="AM31" s="196" t="s">
        <v>129</v>
      </c>
    </row>
    <row r="32" spans="1:39" ht="39.75" customHeight="1" x14ac:dyDescent="0.25">
      <c r="A32" s="195">
        <f t="shared" si="0"/>
        <v>20</v>
      </c>
      <c r="B32" s="110" t="e">
        <f>#REF!</f>
        <v>#REF!</v>
      </c>
      <c r="C32" s="111" t="e">
        <f>#REF!</f>
        <v>#REF!</v>
      </c>
      <c r="D32" s="112" t="e">
        <f>#REF!</f>
        <v>#REF!</v>
      </c>
      <c r="E32" s="113" t="e">
        <f>#REF!</f>
        <v>#REF!</v>
      </c>
      <c r="F32" s="196" t="s">
        <v>230</v>
      </c>
      <c r="G32" s="197" t="e">
        <f t="shared" si="1"/>
        <v>#REF!</v>
      </c>
      <c r="H32" s="198" t="s">
        <v>230</v>
      </c>
      <c r="I32" s="199" t="s">
        <v>230</v>
      </c>
      <c r="J32" s="200" t="s">
        <v>230</v>
      </c>
      <c r="K32" s="201" t="s">
        <v>12</v>
      </c>
      <c r="L32" s="202" t="e">
        <f t="shared" si="2"/>
        <v>#REF!</v>
      </c>
      <c r="M32" s="203" t="s">
        <v>230</v>
      </c>
      <c r="N32" s="204" t="s">
        <v>230</v>
      </c>
      <c r="O32" s="205" t="s">
        <v>230</v>
      </c>
      <c r="P32" s="206" t="s">
        <v>12</v>
      </c>
      <c r="Q32" s="207" t="e">
        <f t="shared" si="3"/>
        <v>#REF!</v>
      </c>
      <c r="R32" s="208" t="s">
        <v>230</v>
      </c>
      <c r="S32" s="209" t="s">
        <v>230</v>
      </c>
      <c r="T32" s="210" t="s">
        <v>230</v>
      </c>
      <c r="U32" s="211" t="s">
        <v>12</v>
      </c>
      <c r="V32" s="212" t="e">
        <f t="shared" si="4"/>
        <v>#REF!</v>
      </c>
      <c r="W32" s="213" t="s">
        <v>230</v>
      </c>
      <c r="X32" s="214" t="s">
        <v>230</v>
      </c>
      <c r="Y32" s="78" t="s">
        <v>230</v>
      </c>
      <c r="Z32" s="215" t="s">
        <v>12</v>
      </c>
      <c r="AA32" s="436" t="s">
        <v>230</v>
      </c>
      <c r="AB32" s="216" t="e">
        <f t="shared" si="5"/>
        <v>#REF!</v>
      </c>
      <c r="AC32" s="198" t="s">
        <v>230</v>
      </c>
      <c r="AD32" s="217" t="s">
        <v>230</v>
      </c>
      <c r="AE32" s="200" t="s">
        <v>230</v>
      </c>
      <c r="AF32" s="218" t="s">
        <v>12</v>
      </c>
      <c r="AG32" s="219">
        <v>44803</v>
      </c>
      <c r="AH32" s="220" t="s">
        <v>230</v>
      </c>
      <c r="AI32" s="221" t="s">
        <v>230</v>
      </c>
      <c r="AJ32" s="222" t="s">
        <v>230</v>
      </c>
      <c r="AK32" s="223" t="s">
        <v>12</v>
      </c>
      <c r="AL32" s="224" t="e">
        <f t="shared" si="6"/>
        <v>#REF!</v>
      </c>
      <c r="AM32" s="196" t="s">
        <v>230</v>
      </c>
    </row>
    <row r="33" spans="1:39" ht="39.75" customHeight="1" x14ac:dyDescent="0.25">
      <c r="A33" s="195">
        <f t="shared" si="0"/>
        <v>21</v>
      </c>
      <c r="B33" s="110" t="e">
        <f>#REF!</f>
        <v>#REF!</v>
      </c>
      <c r="C33" s="111" t="e">
        <f>#REF!</f>
        <v>#REF!</v>
      </c>
      <c r="D33" s="112" t="e">
        <f>#REF!</f>
        <v>#REF!</v>
      </c>
      <c r="E33" s="113" t="e">
        <f>#REF!</f>
        <v>#REF!</v>
      </c>
      <c r="F33" s="196" t="s">
        <v>129</v>
      </c>
      <c r="G33" s="197" t="e">
        <f t="shared" si="1"/>
        <v>#REF!</v>
      </c>
      <c r="H33" s="198" t="s">
        <v>129</v>
      </c>
      <c r="I33" s="199" t="s">
        <v>129</v>
      </c>
      <c r="J33" s="200" t="s">
        <v>129</v>
      </c>
      <c r="K33" s="201" t="s">
        <v>12</v>
      </c>
      <c r="L33" s="202" t="e">
        <f t="shared" si="2"/>
        <v>#REF!</v>
      </c>
      <c r="M33" s="203" t="s">
        <v>129</v>
      </c>
      <c r="N33" s="204" t="s">
        <v>129</v>
      </c>
      <c r="O33" s="205" t="s">
        <v>129</v>
      </c>
      <c r="P33" s="206" t="s">
        <v>12</v>
      </c>
      <c r="Q33" s="207" t="e">
        <f t="shared" si="3"/>
        <v>#REF!</v>
      </c>
      <c r="R33" s="208" t="s">
        <v>129</v>
      </c>
      <c r="S33" s="209" t="s">
        <v>129</v>
      </c>
      <c r="T33" s="210" t="s">
        <v>129</v>
      </c>
      <c r="U33" s="211" t="s">
        <v>12</v>
      </c>
      <c r="V33" s="212" t="e">
        <f t="shared" si="4"/>
        <v>#REF!</v>
      </c>
      <c r="W33" s="213" t="s">
        <v>129</v>
      </c>
      <c r="X33" s="214" t="s">
        <v>129</v>
      </c>
      <c r="Y33" s="78" t="s">
        <v>129</v>
      </c>
      <c r="Z33" s="215" t="s">
        <v>12</v>
      </c>
      <c r="AA33" s="436" t="s">
        <v>129</v>
      </c>
      <c r="AB33" s="216" t="e">
        <f t="shared" si="5"/>
        <v>#REF!</v>
      </c>
      <c r="AC33" s="198" t="s">
        <v>129</v>
      </c>
      <c r="AD33" s="217" t="s">
        <v>129</v>
      </c>
      <c r="AE33" s="200" t="s">
        <v>129</v>
      </c>
      <c r="AF33" s="218" t="s">
        <v>12</v>
      </c>
      <c r="AG33" s="219">
        <v>44803</v>
      </c>
      <c r="AH33" s="220" t="s">
        <v>129</v>
      </c>
      <c r="AI33" s="221" t="s">
        <v>129</v>
      </c>
      <c r="AJ33" s="222" t="s">
        <v>129</v>
      </c>
      <c r="AK33" s="223" t="s">
        <v>12</v>
      </c>
      <c r="AL33" s="224" t="e">
        <f t="shared" si="6"/>
        <v>#REF!</v>
      </c>
      <c r="AM33" s="196" t="s">
        <v>129</v>
      </c>
    </row>
    <row r="34" spans="1:39" ht="39.75" customHeight="1" x14ac:dyDescent="0.25">
      <c r="A34" s="195">
        <f t="shared" si="0"/>
        <v>22</v>
      </c>
      <c r="B34" s="110" t="e">
        <f>#REF!</f>
        <v>#REF!</v>
      </c>
      <c r="C34" s="111" t="e">
        <f>#REF!</f>
        <v>#REF!</v>
      </c>
      <c r="D34" s="112" t="e">
        <f>#REF!</f>
        <v>#REF!</v>
      </c>
      <c r="E34" s="113" t="e">
        <f>#REF!</f>
        <v>#REF!</v>
      </c>
      <c r="F34" s="196" t="s">
        <v>230</v>
      </c>
      <c r="G34" s="197" t="e">
        <f t="shared" si="1"/>
        <v>#REF!</v>
      </c>
      <c r="H34" s="198" t="s">
        <v>230</v>
      </c>
      <c r="I34" s="199" t="s">
        <v>230</v>
      </c>
      <c r="J34" s="200" t="s">
        <v>230</v>
      </c>
      <c r="K34" s="201" t="s">
        <v>12</v>
      </c>
      <c r="L34" s="202" t="e">
        <f t="shared" si="2"/>
        <v>#REF!</v>
      </c>
      <c r="M34" s="203" t="s">
        <v>230</v>
      </c>
      <c r="N34" s="204" t="s">
        <v>230</v>
      </c>
      <c r="O34" s="205" t="s">
        <v>230</v>
      </c>
      <c r="P34" s="206" t="s">
        <v>12</v>
      </c>
      <c r="Q34" s="207" t="e">
        <f t="shared" si="3"/>
        <v>#REF!</v>
      </c>
      <c r="R34" s="208" t="s">
        <v>230</v>
      </c>
      <c r="S34" s="209" t="s">
        <v>230</v>
      </c>
      <c r="T34" s="210" t="s">
        <v>230</v>
      </c>
      <c r="U34" s="211" t="s">
        <v>12</v>
      </c>
      <c r="V34" s="212" t="e">
        <f t="shared" si="4"/>
        <v>#REF!</v>
      </c>
      <c r="W34" s="213" t="s">
        <v>230</v>
      </c>
      <c r="X34" s="214" t="s">
        <v>230</v>
      </c>
      <c r="Y34" s="78" t="s">
        <v>230</v>
      </c>
      <c r="Z34" s="215" t="s">
        <v>12</v>
      </c>
      <c r="AA34" s="436" t="s">
        <v>230</v>
      </c>
      <c r="AB34" s="216" t="e">
        <f t="shared" si="5"/>
        <v>#REF!</v>
      </c>
      <c r="AC34" s="198" t="s">
        <v>230</v>
      </c>
      <c r="AD34" s="217" t="s">
        <v>230</v>
      </c>
      <c r="AE34" s="200" t="s">
        <v>230</v>
      </c>
      <c r="AF34" s="218" t="s">
        <v>12</v>
      </c>
      <c r="AG34" s="219">
        <v>44803</v>
      </c>
      <c r="AH34" s="220" t="s">
        <v>230</v>
      </c>
      <c r="AI34" s="221" t="s">
        <v>230</v>
      </c>
      <c r="AJ34" s="222" t="s">
        <v>230</v>
      </c>
      <c r="AK34" s="223" t="s">
        <v>12</v>
      </c>
      <c r="AL34" s="224" t="e">
        <f t="shared" si="6"/>
        <v>#REF!</v>
      </c>
      <c r="AM34" s="196" t="s">
        <v>230</v>
      </c>
    </row>
    <row r="35" spans="1:39" ht="39.75" customHeight="1" x14ac:dyDescent="0.25">
      <c r="A35" s="195">
        <f t="shared" si="0"/>
        <v>23</v>
      </c>
      <c r="B35" s="110" t="e">
        <f>#REF!</f>
        <v>#REF!</v>
      </c>
      <c r="C35" s="111" t="e">
        <f>#REF!</f>
        <v>#REF!</v>
      </c>
      <c r="D35" s="112" t="e">
        <f>#REF!</f>
        <v>#REF!</v>
      </c>
      <c r="E35" s="113" t="e">
        <f>#REF!</f>
        <v>#REF!</v>
      </c>
      <c r="F35" s="196" t="s">
        <v>129</v>
      </c>
      <c r="G35" s="197" t="e">
        <f t="shared" si="1"/>
        <v>#REF!</v>
      </c>
      <c r="H35" s="198" t="s">
        <v>129</v>
      </c>
      <c r="I35" s="199" t="s">
        <v>129</v>
      </c>
      <c r="J35" s="200" t="s">
        <v>129</v>
      </c>
      <c r="K35" s="201" t="s">
        <v>12</v>
      </c>
      <c r="L35" s="202" t="e">
        <f t="shared" si="2"/>
        <v>#REF!</v>
      </c>
      <c r="M35" s="203" t="s">
        <v>129</v>
      </c>
      <c r="N35" s="204" t="s">
        <v>129</v>
      </c>
      <c r="O35" s="205" t="s">
        <v>129</v>
      </c>
      <c r="P35" s="206" t="s">
        <v>12</v>
      </c>
      <c r="Q35" s="207" t="e">
        <f t="shared" si="3"/>
        <v>#REF!</v>
      </c>
      <c r="R35" s="208" t="s">
        <v>129</v>
      </c>
      <c r="S35" s="209" t="s">
        <v>129</v>
      </c>
      <c r="T35" s="210" t="s">
        <v>129</v>
      </c>
      <c r="U35" s="211" t="s">
        <v>12</v>
      </c>
      <c r="V35" s="212" t="e">
        <f t="shared" si="4"/>
        <v>#REF!</v>
      </c>
      <c r="W35" s="213" t="s">
        <v>129</v>
      </c>
      <c r="X35" s="214" t="s">
        <v>129</v>
      </c>
      <c r="Y35" s="78" t="s">
        <v>129</v>
      </c>
      <c r="Z35" s="215" t="s">
        <v>12</v>
      </c>
      <c r="AA35" s="436" t="s">
        <v>129</v>
      </c>
      <c r="AB35" s="216" t="e">
        <f t="shared" si="5"/>
        <v>#REF!</v>
      </c>
      <c r="AC35" s="198" t="s">
        <v>129</v>
      </c>
      <c r="AD35" s="217" t="s">
        <v>129</v>
      </c>
      <c r="AE35" s="200" t="s">
        <v>129</v>
      </c>
      <c r="AF35" s="218" t="s">
        <v>12</v>
      </c>
      <c r="AG35" s="219">
        <v>44803</v>
      </c>
      <c r="AH35" s="220" t="s">
        <v>129</v>
      </c>
      <c r="AI35" s="221" t="s">
        <v>129</v>
      </c>
      <c r="AJ35" s="222" t="s">
        <v>129</v>
      </c>
      <c r="AK35" s="223" t="s">
        <v>12</v>
      </c>
      <c r="AL35" s="224" t="e">
        <f t="shared" si="6"/>
        <v>#REF!</v>
      </c>
      <c r="AM35" s="196" t="s">
        <v>129</v>
      </c>
    </row>
    <row r="36" spans="1:39" ht="39.75" customHeight="1" x14ac:dyDescent="0.25">
      <c r="A36" s="195">
        <f t="shared" si="0"/>
        <v>24</v>
      </c>
      <c r="B36" s="110" t="e">
        <f>#REF!</f>
        <v>#REF!</v>
      </c>
      <c r="C36" s="111" t="e">
        <f>#REF!</f>
        <v>#REF!</v>
      </c>
      <c r="D36" s="112" t="e">
        <f>#REF!</f>
        <v>#REF!</v>
      </c>
      <c r="E36" s="113" t="e">
        <f>#REF!</f>
        <v>#REF!</v>
      </c>
      <c r="F36" s="196" t="s">
        <v>230</v>
      </c>
      <c r="G36" s="197" t="e">
        <f t="shared" si="1"/>
        <v>#REF!</v>
      </c>
      <c r="H36" s="198" t="s">
        <v>230</v>
      </c>
      <c r="I36" s="199" t="s">
        <v>230</v>
      </c>
      <c r="J36" s="200" t="s">
        <v>230</v>
      </c>
      <c r="K36" s="201" t="s">
        <v>12</v>
      </c>
      <c r="L36" s="202" t="e">
        <f t="shared" si="2"/>
        <v>#REF!</v>
      </c>
      <c r="M36" s="203" t="s">
        <v>230</v>
      </c>
      <c r="N36" s="204" t="s">
        <v>230</v>
      </c>
      <c r="O36" s="205" t="s">
        <v>230</v>
      </c>
      <c r="P36" s="206" t="s">
        <v>12</v>
      </c>
      <c r="Q36" s="207" t="e">
        <f t="shared" si="3"/>
        <v>#REF!</v>
      </c>
      <c r="R36" s="208" t="s">
        <v>230</v>
      </c>
      <c r="S36" s="209" t="s">
        <v>230</v>
      </c>
      <c r="T36" s="210" t="s">
        <v>230</v>
      </c>
      <c r="U36" s="211" t="s">
        <v>12</v>
      </c>
      <c r="V36" s="212" t="e">
        <f t="shared" si="4"/>
        <v>#REF!</v>
      </c>
      <c r="W36" s="213" t="s">
        <v>230</v>
      </c>
      <c r="X36" s="214" t="s">
        <v>230</v>
      </c>
      <c r="Y36" s="78" t="s">
        <v>230</v>
      </c>
      <c r="Z36" s="215" t="s">
        <v>12</v>
      </c>
      <c r="AA36" s="436" t="s">
        <v>230</v>
      </c>
      <c r="AB36" s="216" t="e">
        <f t="shared" si="5"/>
        <v>#REF!</v>
      </c>
      <c r="AC36" s="198" t="s">
        <v>230</v>
      </c>
      <c r="AD36" s="217" t="s">
        <v>230</v>
      </c>
      <c r="AE36" s="200" t="s">
        <v>230</v>
      </c>
      <c r="AF36" s="218" t="s">
        <v>12</v>
      </c>
      <c r="AG36" s="219">
        <v>44803</v>
      </c>
      <c r="AH36" s="220" t="s">
        <v>230</v>
      </c>
      <c r="AI36" s="221" t="s">
        <v>230</v>
      </c>
      <c r="AJ36" s="222" t="s">
        <v>230</v>
      </c>
      <c r="AK36" s="223" t="s">
        <v>12</v>
      </c>
      <c r="AL36" s="224" t="e">
        <f t="shared" si="6"/>
        <v>#REF!</v>
      </c>
      <c r="AM36" s="196" t="s">
        <v>230</v>
      </c>
    </row>
    <row r="37" spans="1:39" ht="39.75" customHeight="1" x14ac:dyDescent="0.25">
      <c r="A37" s="195">
        <f t="shared" si="0"/>
        <v>25</v>
      </c>
      <c r="B37" s="110" t="e">
        <f>#REF!</f>
        <v>#REF!</v>
      </c>
      <c r="C37" s="111" t="e">
        <f>#REF!</f>
        <v>#REF!</v>
      </c>
      <c r="D37" s="112" t="e">
        <f>#REF!</f>
        <v>#REF!</v>
      </c>
      <c r="E37" s="113" t="e">
        <f>#REF!</f>
        <v>#REF!</v>
      </c>
      <c r="F37" s="196" t="s">
        <v>129</v>
      </c>
      <c r="G37" s="197" t="e">
        <f t="shared" si="1"/>
        <v>#REF!</v>
      </c>
      <c r="H37" s="198" t="s">
        <v>129</v>
      </c>
      <c r="I37" s="199" t="s">
        <v>129</v>
      </c>
      <c r="J37" s="200" t="s">
        <v>129</v>
      </c>
      <c r="K37" s="201" t="s">
        <v>12</v>
      </c>
      <c r="L37" s="202" t="e">
        <f t="shared" si="2"/>
        <v>#REF!</v>
      </c>
      <c r="M37" s="203" t="s">
        <v>129</v>
      </c>
      <c r="N37" s="204" t="s">
        <v>129</v>
      </c>
      <c r="O37" s="205" t="s">
        <v>129</v>
      </c>
      <c r="P37" s="206" t="s">
        <v>12</v>
      </c>
      <c r="Q37" s="207" t="e">
        <f t="shared" si="3"/>
        <v>#REF!</v>
      </c>
      <c r="R37" s="208" t="s">
        <v>129</v>
      </c>
      <c r="S37" s="209" t="s">
        <v>129</v>
      </c>
      <c r="T37" s="210" t="s">
        <v>129</v>
      </c>
      <c r="U37" s="211" t="s">
        <v>12</v>
      </c>
      <c r="V37" s="212" t="e">
        <f t="shared" si="4"/>
        <v>#REF!</v>
      </c>
      <c r="W37" s="213" t="s">
        <v>129</v>
      </c>
      <c r="X37" s="214" t="s">
        <v>129</v>
      </c>
      <c r="Y37" s="78" t="s">
        <v>129</v>
      </c>
      <c r="Z37" s="215" t="s">
        <v>12</v>
      </c>
      <c r="AA37" s="436" t="s">
        <v>129</v>
      </c>
      <c r="AB37" s="216" t="e">
        <f t="shared" si="5"/>
        <v>#REF!</v>
      </c>
      <c r="AC37" s="198" t="s">
        <v>129</v>
      </c>
      <c r="AD37" s="217" t="s">
        <v>129</v>
      </c>
      <c r="AE37" s="200" t="s">
        <v>129</v>
      </c>
      <c r="AF37" s="218" t="s">
        <v>12</v>
      </c>
      <c r="AG37" s="219">
        <v>44803</v>
      </c>
      <c r="AH37" s="220" t="s">
        <v>129</v>
      </c>
      <c r="AI37" s="221" t="s">
        <v>129</v>
      </c>
      <c r="AJ37" s="222" t="s">
        <v>129</v>
      </c>
      <c r="AK37" s="223" t="s">
        <v>12</v>
      </c>
      <c r="AL37" s="224" t="e">
        <f t="shared" si="6"/>
        <v>#REF!</v>
      </c>
      <c r="AM37" s="196" t="s">
        <v>129</v>
      </c>
    </row>
    <row r="38" spans="1:39" ht="39.75" customHeight="1" x14ac:dyDescent="0.25">
      <c r="A38" s="195">
        <f t="shared" si="0"/>
        <v>26</v>
      </c>
      <c r="B38" s="110" t="e">
        <f>#REF!</f>
        <v>#REF!</v>
      </c>
      <c r="C38" s="111" t="e">
        <f>#REF!</f>
        <v>#REF!</v>
      </c>
      <c r="D38" s="112" t="e">
        <f>#REF!</f>
        <v>#REF!</v>
      </c>
      <c r="E38" s="113" t="e">
        <f>#REF!</f>
        <v>#REF!</v>
      </c>
      <c r="F38" s="196" t="s">
        <v>230</v>
      </c>
      <c r="G38" s="197" t="e">
        <f t="shared" si="1"/>
        <v>#REF!</v>
      </c>
      <c r="H38" s="198" t="s">
        <v>230</v>
      </c>
      <c r="I38" s="199" t="s">
        <v>230</v>
      </c>
      <c r="J38" s="200" t="s">
        <v>230</v>
      </c>
      <c r="K38" s="201" t="s">
        <v>12</v>
      </c>
      <c r="L38" s="202" t="e">
        <f t="shared" si="2"/>
        <v>#REF!</v>
      </c>
      <c r="M38" s="203" t="s">
        <v>230</v>
      </c>
      <c r="N38" s="204" t="s">
        <v>230</v>
      </c>
      <c r="O38" s="205" t="s">
        <v>230</v>
      </c>
      <c r="P38" s="206" t="s">
        <v>12</v>
      </c>
      <c r="Q38" s="207" t="e">
        <f t="shared" si="3"/>
        <v>#REF!</v>
      </c>
      <c r="R38" s="208" t="s">
        <v>230</v>
      </c>
      <c r="S38" s="209" t="s">
        <v>230</v>
      </c>
      <c r="T38" s="210" t="s">
        <v>230</v>
      </c>
      <c r="U38" s="211" t="s">
        <v>12</v>
      </c>
      <c r="V38" s="212" t="e">
        <f t="shared" si="4"/>
        <v>#REF!</v>
      </c>
      <c r="W38" s="213" t="s">
        <v>230</v>
      </c>
      <c r="X38" s="214" t="s">
        <v>230</v>
      </c>
      <c r="Y38" s="78" t="s">
        <v>230</v>
      </c>
      <c r="Z38" s="215" t="s">
        <v>12</v>
      </c>
      <c r="AA38" s="436" t="s">
        <v>230</v>
      </c>
      <c r="AB38" s="216" t="e">
        <f t="shared" si="5"/>
        <v>#REF!</v>
      </c>
      <c r="AC38" s="198" t="s">
        <v>230</v>
      </c>
      <c r="AD38" s="217" t="s">
        <v>230</v>
      </c>
      <c r="AE38" s="200" t="s">
        <v>230</v>
      </c>
      <c r="AF38" s="218" t="s">
        <v>12</v>
      </c>
      <c r="AG38" s="219">
        <v>44803</v>
      </c>
      <c r="AH38" s="220" t="s">
        <v>230</v>
      </c>
      <c r="AI38" s="221" t="s">
        <v>230</v>
      </c>
      <c r="AJ38" s="222" t="s">
        <v>230</v>
      </c>
      <c r="AK38" s="223" t="s">
        <v>12</v>
      </c>
      <c r="AL38" s="224" t="e">
        <f t="shared" si="6"/>
        <v>#REF!</v>
      </c>
      <c r="AM38" s="196" t="s">
        <v>230</v>
      </c>
    </row>
    <row r="39" spans="1:39" ht="39.75" customHeight="1" x14ac:dyDescent="0.25">
      <c r="A39" s="195">
        <f t="shared" si="0"/>
        <v>27</v>
      </c>
      <c r="B39" s="110" t="e">
        <f>#REF!</f>
        <v>#REF!</v>
      </c>
      <c r="C39" s="111" t="e">
        <f>#REF!</f>
        <v>#REF!</v>
      </c>
      <c r="D39" s="112" t="e">
        <f>#REF!</f>
        <v>#REF!</v>
      </c>
      <c r="E39" s="113" t="e">
        <f>#REF!</f>
        <v>#REF!</v>
      </c>
      <c r="F39" s="196" t="s">
        <v>129</v>
      </c>
      <c r="G39" s="197" t="e">
        <f t="shared" si="1"/>
        <v>#REF!</v>
      </c>
      <c r="H39" s="198" t="s">
        <v>129</v>
      </c>
      <c r="I39" s="199" t="s">
        <v>129</v>
      </c>
      <c r="J39" s="200" t="s">
        <v>129</v>
      </c>
      <c r="K39" s="201" t="s">
        <v>12</v>
      </c>
      <c r="L39" s="202" t="e">
        <f t="shared" si="2"/>
        <v>#REF!</v>
      </c>
      <c r="M39" s="203" t="s">
        <v>129</v>
      </c>
      <c r="N39" s="204" t="s">
        <v>129</v>
      </c>
      <c r="O39" s="205" t="s">
        <v>129</v>
      </c>
      <c r="P39" s="206" t="s">
        <v>12</v>
      </c>
      <c r="Q39" s="207" t="e">
        <f t="shared" si="3"/>
        <v>#REF!</v>
      </c>
      <c r="R39" s="208" t="s">
        <v>129</v>
      </c>
      <c r="S39" s="209" t="s">
        <v>129</v>
      </c>
      <c r="T39" s="210" t="s">
        <v>129</v>
      </c>
      <c r="U39" s="211" t="s">
        <v>12</v>
      </c>
      <c r="V39" s="212" t="e">
        <f t="shared" si="4"/>
        <v>#REF!</v>
      </c>
      <c r="W39" s="213" t="s">
        <v>129</v>
      </c>
      <c r="X39" s="214" t="s">
        <v>129</v>
      </c>
      <c r="Y39" s="78" t="s">
        <v>129</v>
      </c>
      <c r="Z39" s="215" t="s">
        <v>12</v>
      </c>
      <c r="AA39" s="436" t="s">
        <v>129</v>
      </c>
      <c r="AB39" s="216" t="e">
        <f t="shared" si="5"/>
        <v>#REF!</v>
      </c>
      <c r="AC39" s="198" t="s">
        <v>129</v>
      </c>
      <c r="AD39" s="217" t="s">
        <v>129</v>
      </c>
      <c r="AE39" s="200" t="s">
        <v>129</v>
      </c>
      <c r="AF39" s="218" t="s">
        <v>12</v>
      </c>
      <c r="AG39" s="219">
        <v>44803</v>
      </c>
      <c r="AH39" s="220" t="s">
        <v>129</v>
      </c>
      <c r="AI39" s="221" t="s">
        <v>129</v>
      </c>
      <c r="AJ39" s="222" t="s">
        <v>129</v>
      </c>
      <c r="AK39" s="223" t="s">
        <v>12</v>
      </c>
      <c r="AL39" s="224" t="e">
        <f t="shared" si="6"/>
        <v>#REF!</v>
      </c>
      <c r="AM39" s="196" t="s">
        <v>129</v>
      </c>
    </row>
    <row r="40" spans="1:39" ht="39.75" customHeight="1" x14ac:dyDescent="0.25">
      <c r="A40" s="195">
        <f t="shared" si="0"/>
        <v>28</v>
      </c>
      <c r="B40" s="110" t="e">
        <f>#REF!</f>
        <v>#REF!</v>
      </c>
      <c r="C40" s="111" t="e">
        <f>#REF!</f>
        <v>#REF!</v>
      </c>
      <c r="D40" s="112" t="e">
        <f>#REF!</f>
        <v>#REF!</v>
      </c>
      <c r="E40" s="113" t="e">
        <f>#REF!</f>
        <v>#REF!</v>
      </c>
      <c r="F40" s="196" t="s">
        <v>230</v>
      </c>
      <c r="G40" s="197" t="e">
        <f t="shared" si="1"/>
        <v>#REF!</v>
      </c>
      <c r="H40" s="198" t="s">
        <v>230</v>
      </c>
      <c r="I40" s="199" t="s">
        <v>230</v>
      </c>
      <c r="J40" s="200" t="s">
        <v>230</v>
      </c>
      <c r="K40" s="201" t="s">
        <v>12</v>
      </c>
      <c r="L40" s="202" t="e">
        <f t="shared" si="2"/>
        <v>#REF!</v>
      </c>
      <c r="M40" s="203" t="s">
        <v>230</v>
      </c>
      <c r="N40" s="204" t="s">
        <v>230</v>
      </c>
      <c r="O40" s="205" t="s">
        <v>230</v>
      </c>
      <c r="P40" s="206" t="s">
        <v>12</v>
      </c>
      <c r="Q40" s="207" t="e">
        <f t="shared" si="3"/>
        <v>#REF!</v>
      </c>
      <c r="R40" s="208" t="s">
        <v>230</v>
      </c>
      <c r="S40" s="209" t="s">
        <v>230</v>
      </c>
      <c r="T40" s="210" t="s">
        <v>230</v>
      </c>
      <c r="U40" s="211" t="s">
        <v>12</v>
      </c>
      <c r="V40" s="212" t="e">
        <f t="shared" si="4"/>
        <v>#REF!</v>
      </c>
      <c r="W40" s="213" t="s">
        <v>230</v>
      </c>
      <c r="X40" s="214" t="s">
        <v>230</v>
      </c>
      <c r="Y40" s="78" t="s">
        <v>230</v>
      </c>
      <c r="Z40" s="215" t="s">
        <v>12</v>
      </c>
      <c r="AA40" s="436" t="s">
        <v>230</v>
      </c>
      <c r="AB40" s="216" t="e">
        <f t="shared" si="5"/>
        <v>#REF!</v>
      </c>
      <c r="AC40" s="198" t="s">
        <v>230</v>
      </c>
      <c r="AD40" s="217" t="s">
        <v>230</v>
      </c>
      <c r="AE40" s="200" t="s">
        <v>230</v>
      </c>
      <c r="AF40" s="218" t="s">
        <v>12</v>
      </c>
      <c r="AG40" s="219">
        <v>44803</v>
      </c>
      <c r="AH40" s="220" t="s">
        <v>230</v>
      </c>
      <c r="AI40" s="221" t="s">
        <v>230</v>
      </c>
      <c r="AJ40" s="222" t="s">
        <v>230</v>
      </c>
      <c r="AK40" s="223" t="s">
        <v>12</v>
      </c>
      <c r="AL40" s="224" t="e">
        <f t="shared" si="6"/>
        <v>#REF!</v>
      </c>
      <c r="AM40" s="196" t="s">
        <v>230</v>
      </c>
    </row>
    <row r="41" spans="1:39" ht="39.75" customHeight="1" x14ac:dyDescent="0.25">
      <c r="A41" s="195">
        <f t="shared" si="0"/>
        <v>29</v>
      </c>
      <c r="B41" s="110" t="e">
        <f>#REF!</f>
        <v>#REF!</v>
      </c>
      <c r="C41" s="111" t="e">
        <f>#REF!</f>
        <v>#REF!</v>
      </c>
      <c r="D41" s="112" t="e">
        <f>#REF!</f>
        <v>#REF!</v>
      </c>
      <c r="E41" s="113" t="e">
        <f>#REF!</f>
        <v>#REF!</v>
      </c>
      <c r="F41" s="196" t="s">
        <v>129</v>
      </c>
      <c r="G41" s="197" t="e">
        <f t="shared" si="1"/>
        <v>#REF!</v>
      </c>
      <c r="H41" s="198" t="s">
        <v>129</v>
      </c>
      <c r="I41" s="199" t="s">
        <v>129</v>
      </c>
      <c r="J41" s="200" t="s">
        <v>129</v>
      </c>
      <c r="K41" s="201" t="s">
        <v>12</v>
      </c>
      <c r="L41" s="202" t="e">
        <f t="shared" si="2"/>
        <v>#REF!</v>
      </c>
      <c r="M41" s="203" t="s">
        <v>129</v>
      </c>
      <c r="N41" s="204" t="s">
        <v>129</v>
      </c>
      <c r="O41" s="205" t="s">
        <v>129</v>
      </c>
      <c r="P41" s="206" t="s">
        <v>12</v>
      </c>
      <c r="Q41" s="207" t="e">
        <f t="shared" si="3"/>
        <v>#REF!</v>
      </c>
      <c r="R41" s="208" t="s">
        <v>129</v>
      </c>
      <c r="S41" s="209" t="s">
        <v>129</v>
      </c>
      <c r="T41" s="210" t="s">
        <v>129</v>
      </c>
      <c r="U41" s="211" t="s">
        <v>12</v>
      </c>
      <c r="V41" s="212" t="e">
        <f t="shared" si="4"/>
        <v>#REF!</v>
      </c>
      <c r="W41" s="213" t="s">
        <v>129</v>
      </c>
      <c r="X41" s="214" t="s">
        <v>129</v>
      </c>
      <c r="Y41" s="78" t="s">
        <v>129</v>
      </c>
      <c r="Z41" s="215" t="s">
        <v>12</v>
      </c>
      <c r="AA41" s="436" t="s">
        <v>129</v>
      </c>
      <c r="AB41" s="216" t="e">
        <f t="shared" si="5"/>
        <v>#REF!</v>
      </c>
      <c r="AC41" s="198" t="s">
        <v>129</v>
      </c>
      <c r="AD41" s="217" t="s">
        <v>129</v>
      </c>
      <c r="AE41" s="200" t="s">
        <v>129</v>
      </c>
      <c r="AF41" s="218" t="s">
        <v>12</v>
      </c>
      <c r="AG41" s="219">
        <v>44803</v>
      </c>
      <c r="AH41" s="220" t="s">
        <v>129</v>
      </c>
      <c r="AI41" s="221" t="s">
        <v>129</v>
      </c>
      <c r="AJ41" s="222" t="s">
        <v>129</v>
      </c>
      <c r="AK41" s="223" t="s">
        <v>12</v>
      </c>
      <c r="AL41" s="224" t="e">
        <f t="shared" si="6"/>
        <v>#REF!</v>
      </c>
      <c r="AM41" s="196" t="s">
        <v>129</v>
      </c>
    </row>
    <row r="42" spans="1:39" ht="39.75" customHeight="1" x14ac:dyDescent="0.25">
      <c r="A42" s="195">
        <f t="shared" si="0"/>
        <v>30</v>
      </c>
      <c r="B42" s="110" t="e">
        <f>#REF!</f>
        <v>#REF!</v>
      </c>
      <c r="C42" s="111" t="e">
        <f>#REF!</f>
        <v>#REF!</v>
      </c>
      <c r="D42" s="112" t="e">
        <f>#REF!</f>
        <v>#REF!</v>
      </c>
      <c r="E42" s="113" t="e">
        <f>#REF!</f>
        <v>#REF!</v>
      </c>
      <c r="F42" s="196" t="s">
        <v>230</v>
      </c>
      <c r="G42" s="197" t="e">
        <f t="shared" si="1"/>
        <v>#REF!</v>
      </c>
      <c r="H42" s="198" t="s">
        <v>230</v>
      </c>
      <c r="I42" s="199" t="s">
        <v>230</v>
      </c>
      <c r="J42" s="200" t="s">
        <v>230</v>
      </c>
      <c r="K42" s="201" t="s">
        <v>12</v>
      </c>
      <c r="L42" s="202" t="e">
        <f t="shared" si="2"/>
        <v>#REF!</v>
      </c>
      <c r="M42" s="203" t="s">
        <v>230</v>
      </c>
      <c r="N42" s="204" t="s">
        <v>230</v>
      </c>
      <c r="O42" s="205" t="s">
        <v>230</v>
      </c>
      <c r="P42" s="206" t="s">
        <v>12</v>
      </c>
      <c r="Q42" s="207" t="e">
        <f t="shared" si="3"/>
        <v>#REF!</v>
      </c>
      <c r="R42" s="208" t="s">
        <v>230</v>
      </c>
      <c r="S42" s="209" t="s">
        <v>230</v>
      </c>
      <c r="T42" s="210" t="s">
        <v>230</v>
      </c>
      <c r="U42" s="211" t="s">
        <v>12</v>
      </c>
      <c r="V42" s="212" t="e">
        <f t="shared" si="4"/>
        <v>#REF!</v>
      </c>
      <c r="W42" s="213" t="s">
        <v>230</v>
      </c>
      <c r="X42" s="214" t="s">
        <v>230</v>
      </c>
      <c r="Y42" s="78" t="s">
        <v>230</v>
      </c>
      <c r="Z42" s="215" t="s">
        <v>12</v>
      </c>
      <c r="AA42" s="436" t="s">
        <v>230</v>
      </c>
      <c r="AB42" s="216" t="e">
        <f t="shared" si="5"/>
        <v>#REF!</v>
      </c>
      <c r="AC42" s="198" t="s">
        <v>230</v>
      </c>
      <c r="AD42" s="217" t="s">
        <v>230</v>
      </c>
      <c r="AE42" s="200" t="s">
        <v>230</v>
      </c>
      <c r="AF42" s="218" t="s">
        <v>12</v>
      </c>
      <c r="AG42" s="219">
        <v>44803</v>
      </c>
      <c r="AH42" s="220" t="s">
        <v>230</v>
      </c>
      <c r="AI42" s="221" t="s">
        <v>230</v>
      </c>
      <c r="AJ42" s="222" t="s">
        <v>230</v>
      </c>
      <c r="AK42" s="223" t="s">
        <v>12</v>
      </c>
      <c r="AL42" s="224" t="e">
        <f t="shared" si="6"/>
        <v>#REF!</v>
      </c>
      <c r="AM42" s="196" t="s">
        <v>230</v>
      </c>
    </row>
    <row r="43" spans="1:39" ht="39.75" customHeight="1" x14ac:dyDescent="0.25">
      <c r="A43" s="195">
        <f t="shared" si="0"/>
        <v>31</v>
      </c>
      <c r="B43" s="110" t="e">
        <f>#REF!</f>
        <v>#REF!</v>
      </c>
      <c r="C43" s="111" t="e">
        <f>#REF!</f>
        <v>#REF!</v>
      </c>
      <c r="D43" s="112" t="e">
        <f>#REF!</f>
        <v>#REF!</v>
      </c>
      <c r="E43" s="113" t="e">
        <f>#REF!</f>
        <v>#REF!</v>
      </c>
      <c r="F43" s="196" t="s">
        <v>129</v>
      </c>
      <c r="G43" s="197" t="e">
        <f t="shared" si="1"/>
        <v>#REF!</v>
      </c>
      <c r="H43" s="198" t="s">
        <v>129</v>
      </c>
      <c r="I43" s="199" t="s">
        <v>129</v>
      </c>
      <c r="J43" s="200" t="s">
        <v>129</v>
      </c>
      <c r="K43" s="201" t="s">
        <v>12</v>
      </c>
      <c r="L43" s="202" t="e">
        <f t="shared" si="2"/>
        <v>#REF!</v>
      </c>
      <c r="M43" s="203" t="s">
        <v>129</v>
      </c>
      <c r="N43" s="204" t="s">
        <v>129</v>
      </c>
      <c r="O43" s="205" t="s">
        <v>129</v>
      </c>
      <c r="P43" s="206" t="s">
        <v>12</v>
      </c>
      <c r="Q43" s="207" t="e">
        <f t="shared" si="3"/>
        <v>#REF!</v>
      </c>
      <c r="R43" s="208" t="s">
        <v>129</v>
      </c>
      <c r="S43" s="209" t="s">
        <v>129</v>
      </c>
      <c r="T43" s="210" t="s">
        <v>129</v>
      </c>
      <c r="U43" s="211" t="s">
        <v>12</v>
      </c>
      <c r="V43" s="212" t="e">
        <f t="shared" si="4"/>
        <v>#REF!</v>
      </c>
      <c r="W43" s="213" t="s">
        <v>129</v>
      </c>
      <c r="X43" s="214" t="s">
        <v>129</v>
      </c>
      <c r="Y43" s="78" t="s">
        <v>129</v>
      </c>
      <c r="Z43" s="215" t="s">
        <v>12</v>
      </c>
      <c r="AA43" s="436" t="s">
        <v>129</v>
      </c>
      <c r="AB43" s="216" t="e">
        <f t="shared" si="5"/>
        <v>#REF!</v>
      </c>
      <c r="AC43" s="198" t="s">
        <v>129</v>
      </c>
      <c r="AD43" s="217" t="s">
        <v>129</v>
      </c>
      <c r="AE43" s="200" t="s">
        <v>129</v>
      </c>
      <c r="AF43" s="218" t="s">
        <v>12</v>
      </c>
      <c r="AG43" s="219">
        <v>44803</v>
      </c>
      <c r="AH43" s="220" t="s">
        <v>129</v>
      </c>
      <c r="AI43" s="221" t="s">
        <v>129</v>
      </c>
      <c r="AJ43" s="222" t="s">
        <v>129</v>
      </c>
      <c r="AK43" s="223" t="s">
        <v>12</v>
      </c>
      <c r="AL43" s="224" t="e">
        <f t="shared" si="6"/>
        <v>#REF!</v>
      </c>
      <c r="AM43" s="196" t="s">
        <v>129</v>
      </c>
    </row>
    <row r="44" spans="1:39" ht="39.75" customHeight="1" x14ac:dyDescent="0.25">
      <c r="A44" s="195">
        <f t="shared" si="0"/>
        <v>32</v>
      </c>
      <c r="B44" s="110" t="e">
        <f>#REF!</f>
        <v>#REF!</v>
      </c>
      <c r="C44" s="111" t="e">
        <f>#REF!</f>
        <v>#REF!</v>
      </c>
      <c r="D44" s="112" t="e">
        <f>#REF!</f>
        <v>#REF!</v>
      </c>
      <c r="E44" s="113" t="e">
        <f>#REF!</f>
        <v>#REF!</v>
      </c>
      <c r="F44" s="196" t="s">
        <v>230</v>
      </c>
      <c r="G44" s="197" t="e">
        <f t="shared" si="1"/>
        <v>#REF!</v>
      </c>
      <c r="H44" s="198" t="s">
        <v>230</v>
      </c>
      <c r="I44" s="199" t="s">
        <v>230</v>
      </c>
      <c r="J44" s="200" t="s">
        <v>230</v>
      </c>
      <c r="K44" s="201" t="s">
        <v>12</v>
      </c>
      <c r="L44" s="202" t="e">
        <f t="shared" si="2"/>
        <v>#REF!</v>
      </c>
      <c r="M44" s="203" t="s">
        <v>230</v>
      </c>
      <c r="N44" s="204" t="s">
        <v>230</v>
      </c>
      <c r="O44" s="205" t="s">
        <v>230</v>
      </c>
      <c r="P44" s="206" t="s">
        <v>12</v>
      </c>
      <c r="Q44" s="207" t="e">
        <f t="shared" si="3"/>
        <v>#REF!</v>
      </c>
      <c r="R44" s="208" t="s">
        <v>230</v>
      </c>
      <c r="S44" s="209" t="s">
        <v>230</v>
      </c>
      <c r="T44" s="210" t="s">
        <v>230</v>
      </c>
      <c r="U44" s="211" t="s">
        <v>12</v>
      </c>
      <c r="V44" s="212" t="e">
        <f t="shared" si="4"/>
        <v>#REF!</v>
      </c>
      <c r="W44" s="213" t="s">
        <v>230</v>
      </c>
      <c r="X44" s="214" t="s">
        <v>230</v>
      </c>
      <c r="Y44" s="78" t="s">
        <v>230</v>
      </c>
      <c r="Z44" s="215" t="s">
        <v>12</v>
      </c>
      <c r="AA44" s="436" t="s">
        <v>230</v>
      </c>
      <c r="AB44" s="216" t="e">
        <f t="shared" si="5"/>
        <v>#REF!</v>
      </c>
      <c r="AC44" s="198" t="s">
        <v>230</v>
      </c>
      <c r="AD44" s="217" t="s">
        <v>230</v>
      </c>
      <c r="AE44" s="200" t="s">
        <v>230</v>
      </c>
      <c r="AF44" s="218" t="s">
        <v>12</v>
      </c>
      <c r="AG44" s="219">
        <v>44803</v>
      </c>
      <c r="AH44" s="220" t="s">
        <v>230</v>
      </c>
      <c r="AI44" s="221" t="s">
        <v>230</v>
      </c>
      <c r="AJ44" s="222" t="s">
        <v>230</v>
      </c>
      <c r="AK44" s="223" t="s">
        <v>12</v>
      </c>
      <c r="AL44" s="224" t="e">
        <f t="shared" si="6"/>
        <v>#REF!</v>
      </c>
      <c r="AM44" s="196" t="s">
        <v>230</v>
      </c>
    </row>
    <row r="45" spans="1:39" ht="39.75" customHeight="1" x14ac:dyDescent="0.25">
      <c r="A45" s="195">
        <f t="shared" si="0"/>
        <v>33</v>
      </c>
      <c r="B45" s="110" t="e">
        <f>#REF!</f>
        <v>#REF!</v>
      </c>
      <c r="C45" s="111" t="e">
        <f>#REF!</f>
        <v>#REF!</v>
      </c>
      <c r="D45" s="112" t="e">
        <f>#REF!</f>
        <v>#REF!</v>
      </c>
      <c r="E45" s="113" t="e">
        <f>#REF!</f>
        <v>#REF!</v>
      </c>
      <c r="F45" s="196" t="s">
        <v>129</v>
      </c>
      <c r="G45" s="197" t="e">
        <f t="shared" si="1"/>
        <v>#REF!</v>
      </c>
      <c r="H45" s="198" t="s">
        <v>129</v>
      </c>
      <c r="I45" s="199" t="s">
        <v>129</v>
      </c>
      <c r="J45" s="200" t="s">
        <v>129</v>
      </c>
      <c r="K45" s="201" t="s">
        <v>12</v>
      </c>
      <c r="L45" s="202" t="e">
        <f t="shared" si="2"/>
        <v>#REF!</v>
      </c>
      <c r="M45" s="203" t="s">
        <v>129</v>
      </c>
      <c r="N45" s="204" t="s">
        <v>129</v>
      </c>
      <c r="O45" s="205" t="s">
        <v>129</v>
      </c>
      <c r="P45" s="206" t="s">
        <v>12</v>
      </c>
      <c r="Q45" s="207" t="e">
        <f t="shared" si="3"/>
        <v>#REF!</v>
      </c>
      <c r="R45" s="208" t="s">
        <v>129</v>
      </c>
      <c r="S45" s="209" t="s">
        <v>129</v>
      </c>
      <c r="T45" s="210" t="s">
        <v>129</v>
      </c>
      <c r="U45" s="211" t="s">
        <v>12</v>
      </c>
      <c r="V45" s="212" t="e">
        <f t="shared" si="4"/>
        <v>#REF!</v>
      </c>
      <c r="W45" s="213" t="s">
        <v>129</v>
      </c>
      <c r="X45" s="214" t="s">
        <v>129</v>
      </c>
      <c r="Y45" s="78" t="s">
        <v>129</v>
      </c>
      <c r="Z45" s="215" t="s">
        <v>12</v>
      </c>
      <c r="AA45" s="436" t="s">
        <v>129</v>
      </c>
      <c r="AB45" s="216" t="e">
        <f t="shared" si="5"/>
        <v>#REF!</v>
      </c>
      <c r="AC45" s="198" t="s">
        <v>129</v>
      </c>
      <c r="AD45" s="217" t="s">
        <v>129</v>
      </c>
      <c r="AE45" s="200" t="s">
        <v>129</v>
      </c>
      <c r="AF45" s="218" t="s">
        <v>12</v>
      </c>
      <c r="AG45" s="219">
        <v>44803</v>
      </c>
      <c r="AH45" s="220" t="s">
        <v>129</v>
      </c>
      <c r="AI45" s="221" t="s">
        <v>129</v>
      </c>
      <c r="AJ45" s="222" t="s">
        <v>129</v>
      </c>
      <c r="AK45" s="223" t="s">
        <v>12</v>
      </c>
      <c r="AL45" s="224" t="e">
        <f t="shared" si="6"/>
        <v>#REF!</v>
      </c>
      <c r="AM45" s="196" t="s">
        <v>129</v>
      </c>
    </row>
    <row r="46" spans="1:39" ht="39.75" customHeight="1" x14ac:dyDescent="0.25">
      <c r="A46" s="195">
        <f t="shared" si="0"/>
        <v>34</v>
      </c>
      <c r="B46" s="110" t="e">
        <f>#REF!</f>
        <v>#REF!</v>
      </c>
      <c r="C46" s="111" t="e">
        <f>#REF!</f>
        <v>#REF!</v>
      </c>
      <c r="D46" s="112" t="e">
        <f>#REF!</f>
        <v>#REF!</v>
      </c>
      <c r="E46" s="113" t="e">
        <f>#REF!</f>
        <v>#REF!</v>
      </c>
      <c r="F46" s="196" t="s">
        <v>230</v>
      </c>
      <c r="G46" s="197" t="e">
        <f t="shared" si="1"/>
        <v>#REF!</v>
      </c>
      <c r="H46" s="198" t="s">
        <v>230</v>
      </c>
      <c r="I46" s="199" t="s">
        <v>230</v>
      </c>
      <c r="J46" s="200" t="s">
        <v>230</v>
      </c>
      <c r="K46" s="201" t="s">
        <v>12</v>
      </c>
      <c r="L46" s="202" t="e">
        <f t="shared" si="2"/>
        <v>#REF!</v>
      </c>
      <c r="M46" s="203" t="s">
        <v>230</v>
      </c>
      <c r="N46" s="204" t="s">
        <v>230</v>
      </c>
      <c r="O46" s="205" t="s">
        <v>230</v>
      </c>
      <c r="P46" s="206" t="s">
        <v>12</v>
      </c>
      <c r="Q46" s="207" t="e">
        <f t="shared" si="3"/>
        <v>#REF!</v>
      </c>
      <c r="R46" s="208" t="s">
        <v>230</v>
      </c>
      <c r="S46" s="209" t="s">
        <v>230</v>
      </c>
      <c r="T46" s="210" t="s">
        <v>230</v>
      </c>
      <c r="U46" s="211" t="s">
        <v>12</v>
      </c>
      <c r="V46" s="212" t="e">
        <f t="shared" si="4"/>
        <v>#REF!</v>
      </c>
      <c r="W46" s="213" t="s">
        <v>230</v>
      </c>
      <c r="X46" s="214" t="s">
        <v>230</v>
      </c>
      <c r="Y46" s="78" t="s">
        <v>230</v>
      </c>
      <c r="Z46" s="215" t="s">
        <v>12</v>
      </c>
      <c r="AA46" s="436" t="s">
        <v>230</v>
      </c>
      <c r="AB46" s="216" t="e">
        <f t="shared" si="5"/>
        <v>#REF!</v>
      </c>
      <c r="AC46" s="198" t="s">
        <v>230</v>
      </c>
      <c r="AD46" s="217" t="s">
        <v>230</v>
      </c>
      <c r="AE46" s="200" t="s">
        <v>230</v>
      </c>
      <c r="AF46" s="218" t="s">
        <v>12</v>
      </c>
      <c r="AG46" s="219">
        <v>44803</v>
      </c>
      <c r="AH46" s="220" t="s">
        <v>230</v>
      </c>
      <c r="AI46" s="221" t="s">
        <v>230</v>
      </c>
      <c r="AJ46" s="222" t="s">
        <v>230</v>
      </c>
      <c r="AK46" s="223" t="s">
        <v>12</v>
      </c>
      <c r="AL46" s="224" t="e">
        <f t="shared" si="6"/>
        <v>#REF!</v>
      </c>
      <c r="AM46" s="196" t="s">
        <v>230</v>
      </c>
    </row>
    <row r="47" spans="1:39" ht="39.75" customHeight="1" x14ac:dyDescent="0.25">
      <c r="A47" s="195">
        <f t="shared" si="0"/>
        <v>35</v>
      </c>
      <c r="B47" s="110" t="e">
        <f>#REF!</f>
        <v>#REF!</v>
      </c>
      <c r="C47" s="111" t="e">
        <f>#REF!</f>
        <v>#REF!</v>
      </c>
      <c r="D47" s="112" t="e">
        <f>#REF!</f>
        <v>#REF!</v>
      </c>
      <c r="E47" s="113" t="e">
        <f>#REF!</f>
        <v>#REF!</v>
      </c>
      <c r="F47" s="196" t="s">
        <v>129</v>
      </c>
      <c r="G47" s="197" t="e">
        <f t="shared" si="1"/>
        <v>#REF!</v>
      </c>
      <c r="H47" s="198" t="s">
        <v>129</v>
      </c>
      <c r="I47" s="199" t="s">
        <v>129</v>
      </c>
      <c r="J47" s="200" t="s">
        <v>129</v>
      </c>
      <c r="K47" s="201" t="s">
        <v>12</v>
      </c>
      <c r="L47" s="202" t="e">
        <f t="shared" si="2"/>
        <v>#REF!</v>
      </c>
      <c r="M47" s="203" t="s">
        <v>129</v>
      </c>
      <c r="N47" s="204" t="s">
        <v>129</v>
      </c>
      <c r="O47" s="205" t="s">
        <v>129</v>
      </c>
      <c r="P47" s="206" t="s">
        <v>12</v>
      </c>
      <c r="Q47" s="207" t="e">
        <f t="shared" si="3"/>
        <v>#REF!</v>
      </c>
      <c r="R47" s="208" t="s">
        <v>129</v>
      </c>
      <c r="S47" s="209" t="s">
        <v>129</v>
      </c>
      <c r="T47" s="210" t="s">
        <v>129</v>
      </c>
      <c r="U47" s="211" t="s">
        <v>12</v>
      </c>
      <c r="V47" s="212" t="e">
        <f t="shared" si="4"/>
        <v>#REF!</v>
      </c>
      <c r="W47" s="213" t="s">
        <v>129</v>
      </c>
      <c r="X47" s="214" t="s">
        <v>129</v>
      </c>
      <c r="Y47" s="78" t="s">
        <v>129</v>
      </c>
      <c r="Z47" s="215" t="s">
        <v>12</v>
      </c>
      <c r="AA47" s="436" t="s">
        <v>129</v>
      </c>
      <c r="AB47" s="216" t="e">
        <f t="shared" si="5"/>
        <v>#REF!</v>
      </c>
      <c r="AC47" s="198" t="s">
        <v>129</v>
      </c>
      <c r="AD47" s="217" t="s">
        <v>129</v>
      </c>
      <c r="AE47" s="200" t="s">
        <v>129</v>
      </c>
      <c r="AF47" s="218" t="s">
        <v>12</v>
      </c>
      <c r="AG47" s="219">
        <v>44803</v>
      </c>
      <c r="AH47" s="220" t="s">
        <v>129</v>
      </c>
      <c r="AI47" s="221" t="s">
        <v>129</v>
      </c>
      <c r="AJ47" s="222" t="s">
        <v>129</v>
      </c>
      <c r="AK47" s="223" t="s">
        <v>12</v>
      </c>
      <c r="AL47" s="224" t="e">
        <f t="shared" si="6"/>
        <v>#REF!</v>
      </c>
      <c r="AM47" s="196" t="s">
        <v>129</v>
      </c>
    </row>
    <row r="48" spans="1:39" ht="39.75" customHeight="1" x14ac:dyDescent="0.25">
      <c r="A48" s="195">
        <f t="shared" si="0"/>
        <v>36</v>
      </c>
      <c r="B48" s="110" t="e">
        <f>#REF!</f>
        <v>#REF!</v>
      </c>
      <c r="C48" s="111" t="e">
        <f>#REF!</f>
        <v>#REF!</v>
      </c>
      <c r="D48" s="112" t="e">
        <f>#REF!</f>
        <v>#REF!</v>
      </c>
      <c r="E48" s="113" t="e">
        <f>#REF!</f>
        <v>#REF!</v>
      </c>
      <c r="F48" s="196" t="s">
        <v>230</v>
      </c>
      <c r="G48" s="197" t="e">
        <f t="shared" si="1"/>
        <v>#REF!</v>
      </c>
      <c r="H48" s="198" t="s">
        <v>230</v>
      </c>
      <c r="I48" s="199" t="s">
        <v>230</v>
      </c>
      <c r="J48" s="200" t="s">
        <v>230</v>
      </c>
      <c r="K48" s="201" t="s">
        <v>12</v>
      </c>
      <c r="L48" s="202" t="e">
        <f t="shared" si="2"/>
        <v>#REF!</v>
      </c>
      <c r="M48" s="203" t="s">
        <v>230</v>
      </c>
      <c r="N48" s="204" t="s">
        <v>230</v>
      </c>
      <c r="O48" s="205" t="s">
        <v>230</v>
      </c>
      <c r="P48" s="206" t="s">
        <v>12</v>
      </c>
      <c r="Q48" s="207" t="e">
        <f t="shared" si="3"/>
        <v>#REF!</v>
      </c>
      <c r="R48" s="208" t="s">
        <v>230</v>
      </c>
      <c r="S48" s="209" t="s">
        <v>230</v>
      </c>
      <c r="T48" s="210" t="s">
        <v>230</v>
      </c>
      <c r="U48" s="211" t="s">
        <v>12</v>
      </c>
      <c r="V48" s="212" t="e">
        <f t="shared" si="4"/>
        <v>#REF!</v>
      </c>
      <c r="W48" s="213" t="s">
        <v>230</v>
      </c>
      <c r="X48" s="214" t="s">
        <v>230</v>
      </c>
      <c r="Y48" s="78" t="s">
        <v>230</v>
      </c>
      <c r="Z48" s="215" t="s">
        <v>12</v>
      </c>
      <c r="AA48" s="436" t="s">
        <v>230</v>
      </c>
      <c r="AB48" s="216" t="e">
        <f t="shared" si="5"/>
        <v>#REF!</v>
      </c>
      <c r="AC48" s="198" t="s">
        <v>230</v>
      </c>
      <c r="AD48" s="217" t="s">
        <v>230</v>
      </c>
      <c r="AE48" s="200" t="s">
        <v>230</v>
      </c>
      <c r="AF48" s="218" t="s">
        <v>12</v>
      </c>
      <c r="AG48" s="219">
        <v>44803</v>
      </c>
      <c r="AH48" s="220" t="s">
        <v>230</v>
      </c>
      <c r="AI48" s="221" t="s">
        <v>230</v>
      </c>
      <c r="AJ48" s="222" t="s">
        <v>230</v>
      </c>
      <c r="AK48" s="223" t="s">
        <v>12</v>
      </c>
      <c r="AL48" s="224" t="e">
        <f t="shared" si="6"/>
        <v>#REF!</v>
      </c>
      <c r="AM48" s="196" t="s">
        <v>230</v>
      </c>
    </row>
    <row r="49" spans="1:39" ht="39.75" customHeight="1" x14ac:dyDescent="0.25">
      <c r="A49" s="195">
        <f t="shared" si="0"/>
        <v>37</v>
      </c>
      <c r="B49" s="110" t="e">
        <f>#REF!</f>
        <v>#REF!</v>
      </c>
      <c r="C49" s="111" t="e">
        <f>#REF!</f>
        <v>#REF!</v>
      </c>
      <c r="D49" s="112" t="e">
        <f>#REF!</f>
        <v>#REF!</v>
      </c>
      <c r="E49" s="113" t="e">
        <f>#REF!</f>
        <v>#REF!</v>
      </c>
      <c r="F49" s="196" t="s">
        <v>129</v>
      </c>
      <c r="G49" s="197" t="e">
        <f t="shared" si="1"/>
        <v>#REF!</v>
      </c>
      <c r="H49" s="198" t="s">
        <v>129</v>
      </c>
      <c r="I49" s="199" t="s">
        <v>129</v>
      </c>
      <c r="J49" s="200" t="s">
        <v>129</v>
      </c>
      <c r="K49" s="201" t="s">
        <v>12</v>
      </c>
      <c r="L49" s="202" t="e">
        <f t="shared" si="2"/>
        <v>#REF!</v>
      </c>
      <c r="M49" s="203" t="s">
        <v>129</v>
      </c>
      <c r="N49" s="204" t="s">
        <v>129</v>
      </c>
      <c r="O49" s="205" t="s">
        <v>129</v>
      </c>
      <c r="P49" s="206" t="s">
        <v>12</v>
      </c>
      <c r="Q49" s="207" t="e">
        <f t="shared" si="3"/>
        <v>#REF!</v>
      </c>
      <c r="R49" s="208" t="s">
        <v>129</v>
      </c>
      <c r="S49" s="209" t="s">
        <v>129</v>
      </c>
      <c r="T49" s="210" t="s">
        <v>129</v>
      </c>
      <c r="U49" s="211" t="s">
        <v>12</v>
      </c>
      <c r="V49" s="212" t="e">
        <f t="shared" si="4"/>
        <v>#REF!</v>
      </c>
      <c r="W49" s="213" t="s">
        <v>129</v>
      </c>
      <c r="X49" s="214" t="s">
        <v>129</v>
      </c>
      <c r="Y49" s="78" t="s">
        <v>129</v>
      </c>
      <c r="Z49" s="215" t="s">
        <v>12</v>
      </c>
      <c r="AA49" s="436" t="s">
        <v>129</v>
      </c>
      <c r="AB49" s="216" t="e">
        <f t="shared" si="5"/>
        <v>#REF!</v>
      </c>
      <c r="AC49" s="198" t="s">
        <v>129</v>
      </c>
      <c r="AD49" s="217" t="s">
        <v>129</v>
      </c>
      <c r="AE49" s="200" t="s">
        <v>129</v>
      </c>
      <c r="AF49" s="218" t="s">
        <v>12</v>
      </c>
      <c r="AG49" s="219">
        <v>44803</v>
      </c>
      <c r="AH49" s="220" t="s">
        <v>129</v>
      </c>
      <c r="AI49" s="221" t="s">
        <v>129</v>
      </c>
      <c r="AJ49" s="222" t="s">
        <v>129</v>
      </c>
      <c r="AK49" s="223" t="s">
        <v>12</v>
      </c>
      <c r="AL49" s="224" t="e">
        <f t="shared" si="6"/>
        <v>#REF!</v>
      </c>
      <c r="AM49" s="196" t="s">
        <v>129</v>
      </c>
    </row>
    <row r="50" spans="1:39" ht="39.75" customHeight="1" x14ac:dyDescent="0.25">
      <c r="A50" s="195">
        <f t="shared" si="0"/>
        <v>38</v>
      </c>
      <c r="B50" s="110" t="e">
        <f>#REF!</f>
        <v>#REF!</v>
      </c>
      <c r="C50" s="111" t="e">
        <f>#REF!</f>
        <v>#REF!</v>
      </c>
      <c r="D50" s="112" t="e">
        <f>#REF!</f>
        <v>#REF!</v>
      </c>
      <c r="E50" s="113" t="e">
        <f>#REF!</f>
        <v>#REF!</v>
      </c>
      <c r="F50" s="196" t="s">
        <v>230</v>
      </c>
      <c r="G50" s="197" t="e">
        <f t="shared" si="1"/>
        <v>#REF!</v>
      </c>
      <c r="H50" s="198" t="s">
        <v>230</v>
      </c>
      <c r="I50" s="199" t="s">
        <v>230</v>
      </c>
      <c r="J50" s="200" t="s">
        <v>230</v>
      </c>
      <c r="K50" s="201" t="s">
        <v>12</v>
      </c>
      <c r="L50" s="202" t="e">
        <f t="shared" si="2"/>
        <v>#REF!</v>
      </c>
      <c r="M50" s="203" t="s">
        <v>230</v>
      </c>
      <c r="N50" s="204" t="s">
        <v>230</v>
      </c>
      <c r="O50" s="205" t="s">
        <v>230</v>
      </c>
      <c r="P50" s="206" t="s">
        <v>12</v>
      </c>
      <c r="Q50" s="207" t="e">
        <f t="shared" si="3"/>
        <v>#REF!</v>
      </c>
      <c r="R50" s="208" t="s">
        <v>230</v>
      </c>
      <c r="S50" s="209" t="s">
        <v>230</v>
      </c>
      <c r="T50" s="210" t="s">
        <v>230</v>
      </c>
      <c r="U50" s="211" t="s">
        <v>12</v>
      </c>
      <c r="V50" s="212" t="e">
        <f t="shared" si="4"/>
        <v>#REF!</v>
      </c>
      <c r="W50" s="213" t="s">
        <v>230</v>
      </c>
      <c r="X50" s="214" t="s">
        <v>230</v>
      </c>
      <c r="Y50" s="78" t="s">
        <v>230</v>
      </c>
      <c r="Z50" s="215" t="s">
        <v>12</v>
      </c>
      <c r="AA50" s="436" t="s">
        <v>230</v>
      </c>
      <c r="AB50" s="216" t="e">
        <f t="shared" si="5"/>
        <v>#REF!</v>
      </c>
      <c r="AC50" s="198" t="s">
        <v>230</v>
      </c>
      <c r="AD50" s="217" t="s">
        <v>230</v>
      </c>
      <c r="AE50" s="200" t="s">
        <v>230</v>
      </c>
      <c r="AF50" s="218" t="s">
        <v>12</v>
      </c>
      <c r="AG50" s="219">
        <v>44803</v>
      </c>
      <c r="AH50" s="220" t="s">
        <v>230</v>
      </c>
      <c r="AI50" s="221" t="s">
        <v>230</v>
      </c>
      <c r="AJ50" s="222" t="s">
        <v>230</v>
      </c>
      <c r="AK50" s="223" t="s">
        <v>12</v>
      </c>
      <c r="AL50" s="224" t="e">
        <f t="shared" si="6"/>
        <v>#REF!</v>
      </c>
      <c r="AM50" s="196" t="s">
        <v>230</v>
      </c>
    </row>
    <row r="51" spans="1:39" ht="39.75" customHeight="1" x14ac:dyDescent="0.25">
      <c r="A51" s="195">
        <f t="shared" si="0"/>
        <v>39</v>
      </c>
      <c r="B51" s="110" t="e">
        <f>#REF!</f>
        <v>#REF!</v>
      </c>
      <c r="C51" s="111" t="e">
        <f>#REF!</f>
        <v>#REF!</v>
      </c>
      <c r="D51" s="112" t="e">
        <f>#REF!</f>
        <v>#REF!</v>
      </c>
      <c r="E51" s="113" t="e">
        <f>#REF!</f>
        <v>#REF!</v>
      </c>
      <c r="F51" s="196" t="s">
        <v>129</v>
      </c>
      <c r="G51" s="197" t="e">
        <f t="shared" si="1"/>
        <v>#REF!</v>
      </c>
      <c r="H51" s="198" t="s">
        <v>129</v>
      </c>
      <c r="I51" s="199" t="s">
        <v>129</v>
      </c>
      <c r="J51" s="200" t="s">
        <v>129</v>
      </c>
      <c r="K51" s="201" t="s">
        <v>12</v>
      </c>
      <c r="L51" s="202" t="e">
        <f t="shared" si="2"/>
        <v>#REF!</v>
      </c>
      <c r="M51" s="203" t="s">
        <v>129</v>
      </c>
      <c r="N51" s="204" t="s">
        <v>129</v>
      </c>
      <c r="O51" s="205" t="s">
        <v>129</v>
      </c>
      <c r="P51" s="206" t="s">
        <v>12</v>
      </c>
      <c r="Q51" s="207" t="e">
        <f t="shared" si="3"/>
        <v>#REF!</v>
      </c>
      <c r="R51" s="208" t="s">
        <v>129</v>
      </c>
      <c r="S51" s="209" t="s">
        <v>129</v>
      </c>
      <c r="T51" s="210" t="s">
        <v>129</v>
      </c>
      <c r="U51" s="211" t="s">
        <v>12</v>
      </c>
      <c r="V51" s="212" t="e">
        <f t="shared" si="4"/>
        <v>#REF!</v>
      </c>
      <c r="W51" s="213" t="s">
        <v>129</v>
      </c>
      <c r="X51" s="214" t="s">
        <v>129</v>
      </c>
      <c r="Y51" s="78" t="s">
        <v>129</v>
      </c>
      <c r="Z51" s="215" t="s">
        <v>12</v>
      </c>
      <c r="AA51" s="436" t="s">
        <v>129</v>
      </c>
      <c r="AB51" s="216" t="e">
        <f t="shared" si="5"/>
        <v>#REF!</v>
      </c>
      <c r="AC51" s="198" t="s">
        <v>129</v>
      </c>
      <c r="AD51" s="217" t="s">
        <v>129</v>
      </c>
      <c r="AE51" s="200" t="s">
        <v>129</v>
      </c>
      <c r="AF51" s="218" t="s">
        <v>12</v>
      </c>
      <c r="AG51" s="219">
        <v>44803</v>
      </c>
      <c r="AH51" s="220" t="s">
        <v>129</v>
      </c>
      <c r="AI51" s="221" t="s">
        <v>129</v>
      </c>
      <c r="AJ51" s="222" t="s">
        <v>129</v>
      </c>
      <c r="AK51" s="223" t="s">
        <v>12</v>
      </c>
      <c r="AL51" s="224" t="e">
        <f t="shared" si="6"/>
        <v>#REF!</v>
      </c>
      <c r="AM51" s="196" t="s">
        <v>129</v>
      </c>
    </row>
    <row r="52" spans="1:39" ht="39.75" customHeight="1" x14ac:dyDescent="0.25">
      <c r="A52" s="195">
        <f t="shared" si="0"/>
        <v>40</v>
      </c>
      <c r="B52" s="110" t="e">
        <f>#REF!</f>
        <v>#REF!</v>
      </c>
      <c r="C52" s="111" t="e">
        <f>#REF!</f>
        <v>#REF!</v>
      </c>
      <c r="D52" s="112" t="e">
        <f>#REF!</f>
        <v>#REF!</v>
      </c>
      <c r="E52" s="113" t="e">
        <f>#REF!</f>
        <v>#REF!</v>
      </c>
      <c r="F52" s="196" t="s">
        <v>230</v>
      </c>
      <c r="G52" s="197" t="e">
        <f t="shared" si="1"/>
        <v>#REF!</v>
      </c>
      <c r="H52" s="198" t="s">
        <v>230</v>
      </c>
      <c r="I52" s="199" t="s">
        <v>230</v>
      </c>
      <c r="J52" s="200" t="s">
        <v>230</v>
      </c>
      <c r="K52" s="201" t="s">
        <v>12</v>
      </c>
      <c r="L52" s="202" t="e">
        <f t="shared" si="2"/>
        <v>#REF!</v>
      </c>
      <c r="M52" s="203" t="s">
        <v>230</v>
      </c>
      <c r="N52" s="204" t="s">
        <v>230</v>
      </c>
      <c r="O52" s="205" t="s">
        <v>230</v>
      </c>
      <c r="P52" s="206" t="s">
        <v>12</v>
      </c>
      <c r="Q52" s="207" t="e">
        <f t="shared" si="3"/>
        <v>#REF!</v>
      </c>
      <c r="R52" s="208" t="s">
        <v>230</v>
      </c>
      <c r="S52" s="209" t="s">
        <v>230</v>
      </c>
      <c r="T52" s="210" t="s">
        <v>230</v>
      </c>
      <c r="U52" s="211" t="s">
        <v>12</v>
      </c>
      <c r="V52" s="212" t="e">
        <f t="shared" si="4"/>
        <v>#REF!</v>
      </c>
      <c r="W52" s="213" t="s">
        <v>230</v>
      </c>
      <c r="X52" s="214" t="s">
        <v>230</v>
      </c>
      <c r="Y52" s="78" t="s">
        <v>230</v>
      </c>
      <c r="Z52" s="215" t="s">
        <v>12</v>
      </c>
      <c r="AA52" s="436" t="s">
        <v>230</v>
      </c>
      <c r="AB52" s="216" t="e">
        <f t="shared" si="5"/>
        <v>#REF!</v>
      </c>
      <c r="AC52" s="198" t="s">
        <v>230</v>
      </c>
      <c r="AD52" s="217" t="s">
        <v>230</v>
      </c>
      <c r="AE52" s="200" t="s">
        <v>230</v>
      </c>
      <c r="AF52" s="218" t="s">
        <v>12</v>
      </c>
      <c r="AG52" s="219">
        <v>44803</v>
      </c>
      <c r="AH52" s="220" t="s">
        <v>230</v>
      </c>
      <c r="AI52" s="221" t="s">
        <v>230</v>
      </c>
      <c r="AJ52" s="222" t="s">
        <v>230</v>
      </c>
      <c r="AK52" s="223" t="s">
        <v>12</v>
      </c>
      <c r="AL52" s="224" t="e">
        <f t="shared" si="6"/>
        <v>#REF!</v>
      </c>
      <c r="AM52" s="196" t="s">
        <v>230</v>
      </c>
    </row>
    <row r="53" spans="1:39" ht="39.75" customHeight="1" x14ac:dyDescent="0.25">
      <c r="A53" s="195">
        <f t="shared" si="0"/>
        <v>41</v>
      </c>
      <c r="B53" s="110" t="e">
        <f>#REF!</f>
        <v>#REF!</v>
      </c>
      <c r="C53" s="111" t="e">
        <f>#REF!</f>
        <v>#REF!</v>
      </c>
      <c r="D53" s="112" t="e">
        <f>#REF!</f>
        <v>#REF!</v>
      </c>
      <c r="E53" s="113" t="e">
        <f>#REF!</f>
        <v>#REF!</v>
      </c>
      <c r="F53" s="196" t="s">
        <v>129</v>
      </c>
      <c r="G53" s="197" t="e">
        <f t="shared" si="1"/>
        <v>#REF!</v>
      </c>
      <c r="H53" s="198" t="s">
        <v>129</v>
      </c>
      <c r="I53" s="199" t="s">
        <v>129</v>
      </c>
      <c r="J53" s="200" t="s">
        <v>129</v>
      </c>
      <c r="K53" s="201" t="s">
        <v>12</v>
      </c>
      <c r="L53" s="202" t="e">
        <f t="shared" si="2"/>
        <v>#REF!</v>
      </c>
      <c r="M53" s="203" t="s">
        <v>129</v>
      </c>
      <c r="N53" s="204" t="s">
        <v>129</v>
      </c>
      <c r="O53" s="205" t="s">
        <v>129</v>
      </c>
      <c r="P53" s="206" t="s">
        <v>12</v>
      </c>
      <c r="Q53" s="207" t="e">
        <f t="shared" si="3"/>
        <v>#REF!</v>
      </c>
      <c r="R53" s="208" t="s">
        <v>129</v>
      </c>
      <c r="S53" s="209" t="s">
        <v>129</v>
      </c>
      <c r="T53" s="210" t="s">
        <v>129</v>
      </c>
      <c r="U53" s="211" t="s">
        <v>12</v>
      </c>
      <c r="V53" s="212" t="e">
        <f t="shared" si="4"/>
        <v>#REF!</v>
      </c>
      <c r="W53" s="213" t="s">
        <v>129</v>
      </c>
      <c r="X53" s="214" t="s">
        <v>129</v>
      </c>
      <c r="Y53" s="78" t="s">
        <v>129</v>
      </c>
      <c r="Z53" s="215" t="s">
        <v>12</v>
      </c>
      <c r="AA53" s="436" t="s">
        <v>129</v>
      </c>
      <c r="AB53" s="216" t="e">
        <f t="shared" si="5"/>
        <v>#REF!</v>
      </c>
      <c r="AC53" s="198" t="s">
        <v>129</v>
      </c>
      <c r="AD53" s="217" t="s">
        <v>129</v>
      </c>
      <c r="AE53" s="200" t="s">
        <v>129</v>
      </c>
      <c r="AF53" s="218" t="s">
        <v>12</v>
      </c>
      <c r="AG53" s="219">
        <v>44803</v>
      </c>
      <c r="AH53" s="220" t="s">
        <v>129</v>
      </c>
      <c r="AI53" s="221" t="s">
        <v>129</v>
      </c>
      <c r="AJ53" s="222" t="s">
        <v>129</v>
      </c>
      <c r="AK53" s="223" t="s">
        <v>12</v>
      </c>
      <c r="AL53" s="224" t="e">
        <f t="shared" si="6"/>
        <v>#REF!</v>
      </c>
      <c r="AM53" s="196" t="s">
        <v>129</v>
      </c>
    </row>
    <row r="54" spans="1:39" ht="39.75" customHeight="1" x14ac:dyDescent="0.25">
      <c r="A54" s="195">
        <f t="shared" si="0"/>
        <v>42</v>
      </c>
      <c r="B54" s="110" t="e">
        <f>#REF!</f>
        <v>#REF!</v>
      </c>
      <c r="C54" s="111" t="e">
        <f>#REF!</f>
        <v>#REF!</v>
      </c>
      <c r="D54" s="112" t="e">
        <f>#REF!</f>
        <v>#REF!</v>
      </c>
      <c r="E54" s="113" t="e">
        <f>#REF!</f>
        <v>#REF!</v>
      </c>
      <c r="F54" s="196" t="s">
        <v>230</v>
      </c>
      <c r="G54" s="197" t="e">
        <f t="shared" si="1"/>
        <v>#REF!</v>
      </c>
      <c r="H54" s="198" t="s">
        <v>230</v>
      </c>
      <c r="I54" s="199" t="s">
        <v>230</v>
      </c>
      <c r="J54" s="200" t="s">
        <v>230</v>
      </c>
      <c r="K54" s="201" t="s">
        <v>12</v>
      </c>
      <c r="L54" s="202" t="e">
        <f t="shared" si="2"/>
        <v>#REF!</v>
      </c>
      <c r="M54" s="203" t="s">
        <v>230</v>
      </c>
      <c r="N54" s="204" t="s">
        <v>230</v>
      </c>
      <c r="O54" s="205" t="s">
        <v>230</v>
      </c>
      <c r="P54" s="206" t="s">
        <v>12</v>
      </c>
      <c r="Q54" s="207" t="e">
        <f t="shared" si="3"/>
        <v>#REF!</v>
      </c>
      <c r="R54" s="208" t="s">
        <v>230</v>
      </c>
      <c r="S54" s="209" t="s">
        <v>230</v>
      </c>
      <c r="T54" s="210" t="s">
        <v>230</v>
      </c>
      <c r="U54" s="211" t="s">
        <v>12</v>
      </c>
      <c r="V54" s="212" t="e">
        <f t="shared" si="4"/>
        <v>#REF!</v>
      </c>
      <c r="W54" s="213" t="s">
        <v>230</v>
      </c>
      <c r="X54" s="214" t="s">
        <v>230</v>
      </c>
      <c r="Y54" s="78" t="s">
        <v>230</v>
      </c>
      <c r="Z54" s="215" t="s">
        <v>12</v>
      </c>
      <c r="AA54" s="436" t="s">
        <v>230</v>
      </c>
      <c r="AB54" s="216" t="e">
        <f t="shared" si="5"/>
        <v>#REF!</v>
      </c>
      <c r="AC54" s="198" t="s">
        <v>230</v>
      </c>
      <c r="AD54" s="217" t="s">
        <v>230</v>
      </c>
      <c r="AE54" s="200" t="s">
        <v>230</v>
      </c>
      <c r="AF54" s="218" t="s">
        <v>12</v>
      </c>
      <c r="AG54" s="219">
        <v>44803</v>
      </c>
      <c r="AH54" s="220" t="s">
        <v>230</v>
      </c>
      <c r="AI54" s="221" t="s">
        <v>230</v>
      </c>
      <c r="AJ54" s="222" t="s">
        <v>230</v>
      </c>
      <c r="AK54" s="223" t="s">
        <v>12</v>
      </c>
      <c r="AL54" s="224" t="e">
        <f t="shared" si="6"/>
        <v>#REF!</v>
      </c>
      <c r="AM54" s="196" t="s">
        <v>230</v>
      </c>
    </row>
    <row r="55" spans="1:39" ht="39.75" customHeight="1" x14ac:dyDescent="0.25">
      <c r="A55" s="195">
        <f t="shared" si="0"/>
        <v>43</v>
      </c>
      <c r="B55" s="110" t="e">
        <f>#REF!</f>
        <v>#REF!</v>
      </c>
      <c r="C55" s="111" t="e">
        <f>#REF!</f>
        <v>#REF!</v>
      </c>
      <c r="D55" s="112" t="e">
        <f>#REF!</f>
        <v>#REF!</v>
      </c>
      <c r="E55" s="113" t="e">
        <f>#REF!</f>
        <v>#REF!</v>
      </c>
      <c r="F55" s="196" t="s">
        <v>129</v>
      </c>
      <c r="G55" s="197" t="e">
        <f t="shared" si="1"/>
        <v>#REF!</v>
      </c>
      <c r="H55" s="198" t="s">
        <v>129</v>
      </c>
      <c r="I55" s="199" t="s">
        <v>129</v>
      </c>
      <c r="J55" s="200" t="s">
        <v>129</v>
      </c>
      <c r="K55" s="201" t="s">
        <v>12</v>
      </c>
      <c r="L55" s="202" t="e">
        <f t="shared" si="2"/>
        <v>#REF!</v>
      </c>
      <c r="M55" s="203" t="s">
        <v>129</v>
      </c>
      <c r="N55" s="204" t="s">
        <v>129</v>
      </c>
      <c r="O55" s="205" t="s">
        <v>129</v>
      </c>
      <c r="P55" s="206" t="s">
        <v>12</v>
      </c>
      <c r="Q55" s="207" t="e">
        <f t="shared" si="3"/>
        <v>#REF!</v>
      </c>
      <c r="R55" s="208" t="s">
        <v>129</v>
      </c>
      <c r="S55" s="209" t="s">
        <v>129</v>
      </c>
      <c r="T55" s="210" t="s">
        <v>129</v>
      </c>
      <c r="U55" s="211" t="s">
        <v>12</v>
      </c>
      <c r="V55" s="212" t="e">
        <f t="shared" si="4"/>
        <v>#REF!</v>
      </c>
      <c r="W55" s="213" t="s">
        <v>129</v>
      </c>
      <c r="X55" s="214" t="s">
        <v>129</v>
      </c>
      <c r="Y55" s="78" t="s">
        <v>129</v>
      </c>
      <c r="Z55" s="215" t="s">
        <v>12</v>
      </c>
      <c r="AA55" s="436" t="s">
        <v>129</v>
      </c>
      <c r="AB55" s="216" t="e">
        <f t="shared" si="5"/>
        <v>#REF!</v>
      </c>
      <c r="AC55" s="198" t="s">
        <v>129</v>
      </c>
      <c r="AD55" s="217" t="s">
        <v>129</v>
      </c>
      <c r="AE55" s="200" t="s">
        <v>129</v>
      </c>
      <c r="AF55" s="218" t="s">
        <v>12</v>
      </c>
      <c r="AG55" s="219">
        <v>44803</v>
      </c>
      <c r="AH55" s="220" t="s">
        <v>129</v>
      </c>
      <c r="AI55" s="221" t="s">
        <v>129</v>
      </c>
      <c r="AJ55" s="222" t="s">
        <v>129</v>
      </c>
      <c r="AK55" s="223" t="s">
        <v>12</v>
      </c>
      <c r="AL55" s="224" t="e">
        <f t="shared" si="6"/>
        <v>#REF!</v>
      </c>
      <c r="AM55" s="196" t="s">
        <v>129</v>
      </c>
    </row>
    <row r="56" spans="1:39" ht="39.75" customHeight="1" x14ac:dyDescent="0.25">
      <c r="A56" s="195">
        <f t="shared" si="0"/>
        <v>44</v>
      </c>
      <c r="B56" s="110" t="e">
        <f>#REF!</f>
        <v>#REF!</v>
      </c>
      <c r="C56" s="111" t="e">
        <f>#REF!</f>
        <v>#REF!</v>
      </c>
      <c r="D56" s="112" t="e">
        <f>#REF!</f>
        <v>#REF!</v>
      </c>
      <c r="E56" s="113" t="e">
        <f>#REF!</f>
        <v>#REF!</v>
      </c>
      <c r="F56" s="196" t="s">
        <v>230</v>
      </c>
      <c r="G56" s="197" t="e">
        <f t="shared" si="1"/>
        <v>#REF!</v>
      </c>
      <c r="H56" s="198" t="s">
        <v>230</v>
      </c>
      <c r="I56" s="199" t="s">
        <v>230</v>
      </c>
      <c r="J56" s="200" t="s">
        <v>230</v>
      </c>
      <c r="K56" s="201" t="s">
        <v>12</v>
      </c>
      <c r="L56" s="202" t="e">
        <f t="shared" si="2"/>
        <v>#REF!</v>
      </c>
      <c r="M56" s="203" t="s">
        <v>230</v>
      </c>
      <c r="N56" s="204" t="s">
        <v>230</v>
      </c>
      <c r="O56" s="205" t="s">
        <v>230</v>
      </c>
      <c r="P56" s="206" t="s">
        <v>12</v>
      </c>
      <c r="Q56" s="207" t="e">
        <f t="shared" si="3"/>
        <v>#REF!</v>
      </c>
      <c r="R56" s="208" t="s">
        <v>230</v>
      </c>
      <c r="S56" s="209" t="s">
        <v>230</v>
      </c>
      <c r="T56" s="210" t="s">
        <v>230</v>
      </c>
      <c r="U56" s="211" t="s">
        <v>12</v>
      </c>
      <c r="V56" s="212" t="e">
        <f t="shared" si="4"/>
        <v>#REF!</v>
      </c>
      <c r="W56" s="213" t="s">
        <v>230</v>
      </c>
      <c r="X56" s="214" t="s">
        <v>230</v>
      </c>
      <c r="Y56" s="78" t="s">
        <v>230</v>
      </c>
      <c r="Z56" s="215" t="s">
        <v>12</v>
      </c>
      <c r="AA56" s="436" t="s">
        <v>230</v>
      </c>
      <c r="AB56" s="216" t="e">
        <f t="shared" si="5"/>
        <v>#REF!</v>
      </c>
      <c r="AC56" s="198" t="s">
        <v>230</v>
      </c>
      <c r="AD56" s="217" t="s">
        <v>230</v>
      </c>
      <c r="AE56" s="200" t="s">
        <v>230</v>
      </c>
      <c r="AF56" s="218" t="s">
        <v>12</v>
      </c>
      <c r="AG56" s="219">
        <v>44803</v>
      </c>
      <c r="AH56" s="220" t="s">
        <v>230</v>
      </c>
      <c r="AI56" s="221" t="s">
        <v>230</v>
      </c>
      <c r="AJ56" s="222" t="s">
        <v>230</v>
      </c>
      <c r="AK56" s="223" t="s">
        <v>12</v>
      </c>
      <c r="AL56" s="224" t="e">
        <f t="shared" si="6"/>
        <v>#REF!</v>
      </c>
      <c r="AM56" s="196" t="s">
        <v>230</v>
      </c>
    </row>
    <row r="57" spans="1:39" ht="39.75" customHeight="1" x14ac:dyDescent="0.25">
      <c r="A57" s="195">
        <f t="shared" si="0"/>
        <v>45</v>
      </c>
      <c r="B57" s="110" t="e">
        <f>#REF!</f>
        <v>#REF!</v>
      </c>
      <c r="C57" s="111" t="e">
        <f>#REF!</f>
        <v>#REF!</v>
      </c>
      <c r="D57" s="112" t="e">
        <f>#REF!</f>
        <v>#REF!</v>
      </c>
      <c r="E57" s="113" t="e">
        <f>#REF!</f>
        <v>#REF!</v>
      </c>
      <c r="F57" s="196" t="s">
        <v>129</v>
      </c>
      <c r="G57" s="197" t="e">
        <f t="shared" si="1"/>
        <v>#REF!</v>
      </c>
      <c r="H57" s="198" t="s">
        <v>129</v>
      </c>
      <c r="I57" s="199" t="s">
        <v>129</v>
      </c>
      <c r="J57" s="200" t="s">
        <v>129</v>
      </c>
      <c r="K57" s="201" t="s">
        <v>12</v>
      </c>
      <c r="L57" s="202" t="e">
        <f t="shared" si="2"/>
        <v>#REF!</v>
      </c>
      <c r="M57" s="203" t="s">
        <v>129</v>
      </c>
      <c r="N57" s="204" t="s">
        <v>129</v>
      </c>
      <c r="O57" s="205" t="s">
        <v>129</v>
      </c>
      <c r="P57" s="206" t="s">
        <v>12</v>
      </c>
      <c r="Q57" s="207" t="e">
        <f t="shared" si="3"/>
        <v>#REF!</v>
      </c>
      <c r="R57" s="208" t="s">
        <v>129</v>
      </c>
      <c r="S57" s="209" t="s">
        <v>129</v>
      </c>
      <c r="T57" s="210" t="s">
        <v>129</v>
      </c>
      <c r="U57" s="211" t="s">
        <v>12</v>
      </c>
      <c r="V57" s="212" t="e">
        <f t="shared" si="4"/>
        <v>#REF!</v>
      </c>
      <c r="W57" s="213" t="s">
        <v>129</v>
      </c>
      <c r="X57" s="214" t="s">
        <v>129</v>
      </c>
      <c r="Y57" s="78" t="s">
        <v>129</v>
      </c>
      <c r="Z57" s="215" t="s">
        <v>12</v>
      </c>
      <c r="AA57" s="436" t="s">
        <v>129</v>
      </c>
      <c r="AB57" s="216" t="e">
        <f t="shared" si="5"/>
        <v>#REF!</v>
      </c>
      <c r="AC57" s="198" t="s">
        <v>129</v>
      </c>
      <c r="AD57" s="217" t="s">
        <v>129</v>
      </c>
      <c r="AE57" s="200" t="s">
        <v>129</v>
      </c>
      <c r="AF57" s="218" t="s">
        <v>12</v>
      </c>
      <c r="AG57" s="219">
        <v>44803</v>
      </c>
      <c r="AH57" s="220" t="s">
        <v>129</v>
      </c>
      <c r="AI57" s="221" t="s">
        <v>129</v>
      </c>
      <c r="AJ57" s="222" t="s">
        <v>129</v>
      </c>
      <c r="AK57" s="223" t="s">
        <v>12</v>
      </c>
      <c r="AL57" s="224" t="e">
        <f t="shared" si="6"/>
        <v>#REF!</v>
      </c>
      <c r="AM57" s="196" t="s">
        <v>129</v>
      </c>
    </row>
    <row r="58" spans="1:39" ht="39.75" customHeight="1" x14ac:dyDescent="0.25">
      <c r="A58" s="195">
        <f t="shared" si="0"/>
        <v>46</v>
      </c>
      <c r="B58" s="110" t="e">
        <f>#REF!</f>
        <v>#REF!</v>
      </c>
      <c r="C58" s="111" t="e">
        <f>#REF!</f>
        <v>#REF!</v>
      </c>
      <c r="D58" s="112" t="e">
        <f>#REF!</f>
        <v>#REF!</v>
      </c>
      <c r="E58" s="113" t="e">
        <f>#REF!</f>
        <v>#REF!</v>
      </c>
      <c r="F58" s="196" t="s">
        <v>230</v>
      </c>
      <c r="G58" s="197" t="e">
        <f t="shared" si="1"/>
        <v>#REF!</v>
      </c>
      <c r="H58" s="198" t="s">
        <v>230</v>
      </c>
      <c r="I58" s="199" t="s">
        <v>230</v>
      </c>
      <c r="J58" s="200" t="s">
        <v>230</v>
      </c>
      <c r="K58" s="201" t="s">
        <v>12</v>
      </c>
      <c r="L58" s="202" t="e">
        <f t="shared" si="2"/>
        <v>#REF!</v>
      </c>
      <c r="M58" s="203" t="s">
        <v>230</v>
      </c>
      <c r="N58" s="204" t="s">
        <v>230</v>
      </c>
      <c r="O58" s="205" t="s">
        <v>230</v>
      </c>
      <c r="P58" s="206" t="s">
        <v>12</v>
      </c>
      <c r="Q58" s="207" t="e">
        <f t="shared" si="3"/>
        <v>#REF!</v>
      </c>
      <c r="R58" s="208" t="s">
        <v>230</v>
      </c>
      <c r="S58" s="209" t="s">
        <v>230</v>
      </c>
      <c r="T58" s="210" t="s">
        <v>230</v>
      </c>
      <c r="U58" s="211" t="s">
        <v>12</v>
      </c>
      <c r="V58" s="212" t="e">
        <f t="shared" si="4"/>
        <v>#REF!</v>
      </c>
      <c r="W58" s="213" t="s">
        <v>230</v>
      </c>
      <c r="X58" s="214" t="s">
        <v>230</v>
      </c>
      <c r="Y58" s="78" t="s">
        <v>230</v>
      </c>
      <c r="Z58" s="215" t="s">
        <v>12</v>
      </c>
      <c r="AA58" s="436" t="s">
        <v>230</v>
      </c>
      <c r="AB58" s="216" t="e">
        <f t="shared" si="5"/>
        <v>#REF!</v>
      </c>
      <c r="AC58" s="198" t="s">
        <v>230</v>
      </c>
      <c r="AD58" s="217" t="s">
        <v>230</v>
      </c>
      <c r="AE58" s="200" t="s">
        <v>230</v>
      </c>
      <c r="AF58" s="218" t="s">
        <v>12</v>
      </c>
      <c r="AG58" s="219">
        <v>44803</v>
      </c>
      <c r="AH58" s="220" t="s">
        <v>230</v>
      </c>
      <c r="AI58" s="221" t="s">
        <v>230</v>
      </c>
      <c r="AJ58" s="222" t="s">
        <v>230</v>
      </c>
      <c r="AK58" s="223" t="s">
        <v>12</v>
      </c>
      <c r="AL58" s="224" t="e">
        <f t="shared" si="6"/>
        <v>#REF!</v>
      </c>
      <c r="AM58" s="196" t="s">
        <v>230</v>
      </c>
    </row>
    <row r="59" spans="1:39" ht="39.75" customHeight="1" x14ac:dyDescent="0.25">
      <c r="A59" s="195">
        <f t="shared" si="0"/>
        <v>47</v>
      </c>
      <c r="B59" s="110" t="e">
        <f>#REF!</f>
        <v>#REF!</v>
      </c>
      <c r="C59" s="111" t="e">
        <f>#REF!</f>
        <v>#REF!</v>
      </c>
      <c r="D59" s="112" t="e">
        <f>#REF!</f>
        <v>#REF!</v>
      </c>
      <c r="E59" s="113" t="e">
        <f>#REF!</f>
        <v>#REF!</v>
      </c>
      <c r="F59" s="196" t="s">
        <v>129</v>
      </c>
      <c r="G59" s="197" t="e">
        <f t="shared" si="1"/>
        <v>#REF!</v>
      </c>
      <c r="H59" s="198" t="s">
        <v>129</v>
      </c>
      <c r="I59" s="199" t="s">
        <v>129</v>
      </c>
      <c r="J59" s="200" t="s">
        <v>129</v>
      </c>
      <c r="K59" s="201" t="s">
        <v>12</v>
      </c>
      <c r="L59" s="202" t="e">
        <f t="shared" si="2"/>
        <v>#REF!</v>
      </c>
      <c r="M59" s="203" t="s">
        <v>129</v>
      </c>
      <c r="N59" s="204" t="s">
        <v>129</v>
      </c>
      <c r="O59" s="205" t="s">
        <v>129</v>
      </c>
      <c r="P59" s="206" t="s">
        <v>12</v>
      </c>
      <c r="Q59" s="207" t="e">
        <f t="shared" si="3"/>
        <v>#REF!</v>
      </c>
      <c r="R59" s="208" t="s">
        <v>129</v>
      </c>
      <c r="S59" s="209" t="s">
        <v>129</v>
      </c>
      <c r="T59" s="210" t="s">
        <v>129</v>
      </c>
      <c r="U59" s="211" t="s">
        <v>12</v>
      </c>
      <c r="V59" s="212" t="e">
        <f t="shared" si="4"/>
        <v>#REF!</v>
      </c>
      <c r="W59" s="213" t="s">
        <v>129</v>
      </c>
      <c r="X59" s="214" t="s">
        <v>129</v>
      </c>
      <c r="Y59" s="78" t="s">
        <v>129</v>
      </c>
      <c r="Z59" s="215" t="s">
        <v>12</v>
      </c>
      <c r="AA59" s="436" t="s">
        <v>129</v>
      </c>
      <c r="AB59" s="216" t="e">
        <f t="shared" si="5"/>
        <v>#REF!</v>
      </c>
      <c r="AC59" s="198" t="s">
        <v>129</v>
      </c>
      <c r="AD59" s="217" t="s">
        <v>129</v>
      </c>
      <c r="AE59" s="200" t="s">
        <v>129</v>
      </c>
      <c r="AF59" s="218" t="s">
        <v>12</v>
      </c>
      <c r="AG59" s="219">
        <v>44803</v>
      </c>
      <c r="AH59" s="220" t="s">
        <v>129</v>
      </c>
      <c r="AI59" s="221" t="s">
        <v>129</v>
      </c>
      <c r="AJ59" s="222" t="s">
        <v>129</v>
      </c>
      <c r="AK59" s="223" t="s">
        <v>12</v>
      </c>
      <c r="AL59" s="224" t="e">
        <f t="shared" si="6"/>
        <v>#REF!</v>
      </c>
      <c r="AM59" s="196" t="s">
        <v>129</v>
      </c>
    </row>
    <row r="60" spans="1:39" ht="39.75" customHeight="1" x14ac:dyDescent="0.25">
      <c r="A60" s="195">
        <f t="shared" si="0"/>
        <v>48</v>
      </c>
      <c r="B60" s="110" t="e">
        <f>#REF!</f>
        <v>#REF!</v>
      </c>
      <c r="C60" s="111" t="e">
        <f>#REF!</f>
        <v>#REF!</v>
      </c>
      <c r="D60" s="112" t="e">
        <f>#REF!</f>
        <v>#REF!</v>
      </c>
      <c r="E60" s="113" t="e">
        <f>#REF!</f>
        <v>#REF!</v>
      </c>
      <c r="F60" s="196" t="s">
        <v>230</v>
      </c>
      <c r="G60" s="197" t="e">
        <f t="shared" si="1"/>
        <v>#REF!</v>
      </c>
      <c r="H60" s="198" t="s">
        <v>230</v>
      </c>
      <c r="I60" s="199" t="s">
        <v>230</v>
      </c>
      <c r="J60" s="200" t="s">
        <v>230</v>
      </c>
      <c r="K60" s="201" t="s">
        <v>12</v>
      </c>
      <c r="L60" s="202" t="e">
        <f t="shared" si="2"/>
        <v>#REF!</v>
      </c>
      <c r="M60" s="203" t="s">
        <v>230</v>
      </c>
      <c r="N60" s="204" t="s">
        <v>230</v>
      </c>
      <c r="O60" s="205" t="s">
        <v>230</v>
      </c>
      <c r="P60" s="206" t="s">
        <v>12</v>
      </c>
      <c r="Q60" s="207" t="e">
        <f t="shared" si="3"/>
        <v>#REF!</v>
      </c>
      <c r="R60" s="208" t="s">
        <v>230</v>
      </c>
      <c r="S60" s="209" t="s">
        <v>230</v>
      </c>
      <c r="T60" s="210" t="s">
        <v>230</v>
      </c>
      <c r="U60" s="211" t="s">
        <v>12</v>
      </c>
      <c r="V60" s="212" t="e">
        <f t="shared" si="4"/>
        <v>#REF!</v>
      </c>
      <c r="W60" s="213" t="s">
        <v>230</v>
      </c>
      <c r="X60" s="214" t="s">
        <v>230</v>
      </c>
      <c r="Y60" s="78" t="s">
        <v>230</v>
      </c>
      <c r="Z60" s="215" t="s">
        <v>12</v>
      </c>
      <c r="AA60" s="436" t="s">
        <v>230</v>
      </c>
      <c r="AB60" s="216" t="e">
        <f t="shared" si="5"/>
        <v>#REF!</v>
      </c>
      <c r="AC60" s="198" t="s">
        <v>230</v>
      </c>
      <c r="AD60" s="217" t="s">
        <v>230</v>
      </c>
      <c r="AE60" s="200" t="s">
        <v>230</v>
      </c>
      <c r="AF60" s="218" t="s">
        <v>12</v>
      </c>
      <c r="AG60" s="219">
        <v>44803</v>
      </c>
      <c r="AH60" s="220" t="s">
        <v>230</v>
      </c>
      <c r="AI60" s="221" t="s">
        <v>230</v>
      </c>
      <c r="AJ60" s="222" t="s">
        <v>230</v>
      </c>
      <c r="AK60" s="223" t="s">
        <v>12</v>
      </c>
      <c r="AL60" s="224" t="e">
        <f t="shared" si="6"/>
        <v>#REF!</v>
      </c>
      <c r="AM60" s="196" t="s">
        <v>230</v>
      </c>
    </row>
    <row r="61" spans="1:39" ht="39.75" customHeight="1" x14ac:dyDescent="0.25">
      <c r="A61" s="195">
        <f t="shared" si="0"/>
        <v>49</v>
      </c>
      <c r="B61" s="110" t="e">
        <f>#REF!</f>
        <v>#REF!</v>
      </c>
      <c r="C61" s="111" t="e">
        <f>#REF!</f>
        <v>#REF!</v>
      </c>
      <c r="D61" s="112" t="e">
        <f>#REF!</f>
        <v>#REF!</v>
      </c>
      <c r="E61" s="113" t="e">
        <f>#REF!</f>
        <v>#REF!</v>
      </c>
      <c r="F61" s="196" t="s">
        <v>129</v>
      </c>
      <c r="G61" s="197" t="e">
        <f t="shared" si="1"/>
        <v>#REF!</v>
      </c>
      <c r="H61" s="198" t="s">
        <v>129</v>
      </c>
      <c r="I61" s="199" t="s">
        <v>129</v>
      </c>
      <c r="J61" s="200" t="s">
        <v>129</v>
      </c>
      <c r="K61" s="201" t="s">
        <v>12</v>
      </c>
      <c r="L61" s="202" t="e">
        <f t="shared" si="2"/>
        <v>#REF!</v>
      </c>
      <c r="M61" s="203" t="s">
        <v>129</v>
      </c>
      <c r="N61" s="204" t="s">
        <v>129</v>
      </c>
      <c r="O61" s="205" t="s">
        <v>129</v>
      </c>
      <c r="P61" s="206" t="s">
        <v>12</v>
      </c>
      <c r="Q61" s="207" t="e">
        <f t="shared" si="3"/>
        <v>#REF!</v>
      </c>
      <c r="R61" s="208" t="s">
        <v>129</v>
      </c>
      <c r="S61" s="209" t="s">
        <v>129</v>
      </c>
      <c r="T61" s="210" t="s">
        <v>129</v>
      </c>
      <c r="U61" s="211" t="s">
        <v>12</v>
      </c>
      <c r="V61" s="212" t="e">
        <f t="shared" si="4"/>
        <v>#REF!</v>
      </c>
      <c r="W61" s="213" t="s">
        <v>129</v>
      </c>
      <c r="X61" s="214" t="s">
        <v>129</v>
      </c>
      <c r="Y61" s="78" t="s">
        <v>129</v>
      </c>
      <c r="Z61" s="215" t="s">
        <v>12</v>
      </c>
      <c r="AA61" s="436" t="s">
        <v>129</v>
      </c>
      <c r="AB61" s="216" t="e">
        <f t="shared" si="5"/>
        <v>#REF!</v>
      </c>
      <c r="AC61" s="198" t="s">
        <v>129</v>
      </c>
      <c r="AD61" s="217" t="s">
        <v>129</v>
      </c>
      <c r="AE61" s="200" t="s">
        <v>129</v>
      </c>
      <c r="AF61" s="218" t="s">
        <v>12</v>
      </c>
      <c r="AG61" s="219">
        <v>44803</v>
      </c>
      <c r="AH61" s="220" t="s">
        <v>129</v>
      </c>
      <c r="AI61" s="221" t="s">
        <v>129</v>
      </c>
      <c r="AJ61" s="222" t="s">
        <v>129</v>
      </c>
      <c r="AK61" s="223" t="s">
        <v>12</v>
      </c>
      <c r="AL61" s="224" t="e">
        <f t="shared" si="6"/>
        <v>#REF!</v>
      </c>
      <c r="AM61" s="196" t="s">
        <v>129</v>
      </c>
    </row>
    <row r="62" spans="1:39" ht="39.75" customHeight="1" x14ac:dyDescent="0.25">
      <c r="A62" s="195">
        <f t="shared" si="0"/>
        <v>50</v>
      </c>
      <c r="B62" s="110" t="e">
        <f>#REF!</f>
        <v>#REF!</v>
      </c>
      <c r="C62" s="111" t="e">
        <f>#REF!</f>
        <v>#REF!</v>
      </c>
      <c r="D62" s="112" t="e">
        <f>#REF!</f>
        <v>#REF!</v>
      </c>
      <c r="E62" s="113" t="e">
        <f>#REF!</f>
        <v>#REF!</v>
      </c>
      <c r="F62" s="196" t="s">
        <v>230</v>
      </c>
      <c r="G62" s="197" t="e">
        <f t="shared" si="1"/>
        <v>#REF!</v>
      </c>
      <c r="H62" s="198" t="s">
        <v>230</v>
      </c>
      <c r="I62" s="199" t="s">
        <v>230</v>
      </c>
      <c r="J62" s="200" t="s">
        <v>230</v>
      </c>
      <c r="K62" s="201" t="s">
        <v>12</v>
      </c>
      <c r="L62" s="202" t="e">
        <f t="shared" si="2"/>
        <v>#REF!</v>
      </c>
      <c r="M62" s="203" t="s">
        <v>230</v>
      </c>
      <c r="N62" s="204" t="s">
        <v>230</v>
      </c>
      <c r="O62" s="205" t="s">
        <v>230</v>
      </c>
      <c r="P62" s="206" t="s">
        <v>12</v>
      </c>
      <c r="Q62" s="207" t="e">
        <f t="shared" si="3"/>
        <v>#REF!</v>
      </c>
      <c r="R62" s="208" t="s">
        <v>230</v>
      </c>
      <c r="S62" s="209" t="s">
        <v>230</v>
      </c>
      <c r="T62" s="210" t="s">
        <v>230</v>
      </c>
      <c r="U62" s="211" t="s">
        <v>12</v>
      </c>
      <c r="V62" s="212" t="e">
        <f t="shared" si="4"/>
        <v>#REF!</v>
      </c>
      <c r="W62" s="213" t="s">
        <v>230</v>
      </c>
      <c r="X62" s="214" t="s">
        <v>230</v>
      </c>
      <c r="Y62" s="78" t="s">
        <v>230</v>
      </c>
      <c r="Z62" s="215" t="s">
        <v>12</v>
      </c>
      <c r="AA62" s="436" t="s">
        <v>230</v>
      </c>
      <c r="AB62" s="216" t="e">
        <f t="shared" si="5"/>
        <v>#REF!</v>
      </c>
      <c r="AC62" s="198" t="s">
        <v>230</v>
      </c>
      <c r="AD62" s="217" t="s">
        <v>230</v>
      </c>
      <c r="AE62" s="200" t="s">
        <v>230</v>
      </c>
      <c r="AF62" s="218" t="s">
        <v>12</v>
      </c>
      <c r="AG62" s="219">
        <v>44803</v>
      </c>
      <c r="AH62" s="220" t="s">
        <v>230</v>
      </c>
      <c r="AI62" s="221" t="s">
        <v>230</v>
      </c>
      <c r="AJ62" s="222" t="s">
        <v>230</v>
      </c>
      <c r="AK62" s="223" t="s">
        <v>12</v>
      </c>
      <c r="AL62" s="224" t="e">
        <f t="shared" si="6"/>
        <v>#REF!</v>
      </c>
      <c r="AM62" s="196" t="s">
        <v>230</v>
      </c>
    </row>
    <row r="63" spans="1:39" ht="15.75" customHeight="1" x14ac:dyDescent="0.25">
      <c r="A63" s="122"/>
    </row>
    <row r="64" spans="1:39"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c r="A69" s="122"/>
    </row>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4">
    <mergeCell ref="A11:N11"/>
    <mergeCell ref="A6:D6"/>
    <mergeCell ref="A7:D7"/>
    <mergeCell ref="E7:H7"/>
    <mergeCell ref="I7:K7"/>
    <mergeCell ref="L7:N7"/>
    <mergeCell ref="A8:D9"/>
    <mergeCell ref="E8:H9"/>
    <mergeCell ref="I8:K8"/>
    <mergeCell ref="L8:N8"/>
    <mergeCell ref="I9:K9"/>
    <mergeCell ref="L9:N9"/>
    <mergeCell ref="A10:D10"/>
    <mergeCell ref="E10:F10"/>
    <mergeCell ref="G10:H10"/>
    <mergeCell ref="I10:K10"/>
    <mergeCell ref="L10:N10"/>
    <mergeCell ref="A2:N2"/>
    <mergeCell ref="A3:N3"/>
    <mergeCell ref="A4:N4"/>
    <mergeCell ref="A5:N5"/>
    <mergeCell ref="E6:H6"/>
    <mergeCell ref="I6:K6"/>
    <mergeCell ref="L6:N6"/>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1100-000000000000}">
          <x14:formula1>
            <xm:f>'Pick List '!$C$4:$C$9</xm:f>
          </x14:formula1>
          <xm:sqref>G10</xm:sqref>
        </x14:dataValidation>
        <x14:dataValidation type="list" allowBlank="1" showErrorMessage="1" xr:uid="{00000000-0002-0000-1100-000001000000}">
          <x14:formula1>
            <xm:f>'Pick List '!$A$4:$A$15</xm:f>
          </x14:formula1>
          <xm:sqref>E10</xm:sqref>
        </x14:dataValidation>
        <x14:dataValidation type="list" allowBlank="1" showErrorMessage="1" xr:uid="{00000000-0002-0000-1100-000002000000}">
          <x14:formula1>
            <xm:f>'Pick List '!$G$15:$G$16</xm:f>
          </x14:formula1>
          <xm:sqref>F13:F62 H13:J62 M13:O62 R13:T62 W13:Y62 AA13:AA62 AC13:AE62 AH13:AJ62 AM13:AM62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33C0B"/>
  </sheetPr>
  <dimension ref="A1:AD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1.28515625" customWidth="1"/>
    <col min="4" max="4" width="12.42578125" customWidth="1"/>
    <col min="5" max="5" width="12.7109375" customWidth="1"/>
    <col min="6" max="6" width="11.7109375" customWidth="1"/>
    <col min="7" max="30" width="12.7109375" customWidth="1"/>
  </cols>
  <sheetData>
    <row r="1" spans="1:30" ht="69.75" customHeight="1" x14ac:dyDescent="0.25">
      <c r="A1" s="89" t="s">
        <v>27</v>
      </c>
      <c r="B1" s="124" t="s">
        <v>212</v>
      </c>
      <c r="C1" s="125" t="s">
        <v>213</v>
      </c>
      <c r="D1" s="124" t="s">
        <v>239</v>
      </c>
      <c r="E1" s="125" t="s">
        <v>398</v>
      </c>
      <c r="F1" s="437" t="s">
        <v>489</v>
      </c>
      <c r="G1" s="438" t="s">
        <v>490</v>
      </c>
      <c r="H1" s="439" t="s">
        <v>491</v>
      </c>
      <c r="I1" s="440" t="s">
        <v>492</v>
      </c>
      <c r="J1" s="441" t="s">
        <v>493</v>
      </c>
      <c r="K1" s="442" t="s">
        <v>494</v>
      </c>
      <c r="L1" s="441" t="s">
        <v>495</v>
      </c>
      <c r="M1" s="443" t="s">
        <v>496</v>
      </c>
      <c r="N1" s="444" t="s">
        <v>497</v>
      </c>
      <c r="O1" s="441" t="s">
        <v>498</v>
      </c>
      <c r="P1" s="445" t="s">
        <v>499</v>
      </c>
      <c r="Q1" s="441" t="s">
        <v>500</v>
      </c>
      <c r="R1" s="446" t="s">
        <v>501</v>
      </c>
      <c r="S1" s="447" t="s">
        <v>502</v>
      </c>
      <c r="T1" s="441" t="s">
        <v>503</v>
      </c>
      <c r="U1" s="442" t="s">
        <v>504</v>
      </c>
      <c r="V1" s="441" t="s">
        <v>505</v>
      </c>
      <c r="W1" s="446" t="s">
        <v>506</v>
      </c>
      <c r="X1" s="447" t="s">
        <v>507</v>
      </c>
      <c r="Y1" s="441" t="s">
        <v>508</v>
      </c>
      <c r="Z1" s="448" t="s">
        <v>509</v>
      </c>
      <c r="AA1" s="441" t="s">
        <v>510</v>
      </c>
      <c r="AB1" s="446" t="s">
        <v>511</v>
      </c>
      <c r="AC1" s="447" t="s">
        <v>512</v>
      </c>
      <c r="AD1" s="441" t="s">
        <v>513</v>
      </c>
    </row>
    <row r="2" spans="1:30" ht="15.75" x14ac:dyDescent="0.25">
      <c r="A2" s="785" t="str">
        <f>'BASE GRANTEE INFO &amp; UPDATES'!A1</f>
        <v>WV Bureau For Behavioral Health - Harm Reduction 2025</v>
      </c>
      <c r="B2" s="705"/>
      <c r="C2" s="705"/>
      <c r="D2" s="705"/>
      <c r="E2" s="705"/>
      <c r="F2" s="705"/>
      <c r="G2" s="705"/>
      <c r="H2" s="705"/>
      <c r="I2" s="705"/>
      <c r="J2" s="705"/>
      <c r="K2" s="705"/>
      <c r="L2" s="705"/>
      <c r="M2" s="705"/>
      <c r="N2" s="833"/>
      <c r="O2" s="161"/>
      <c r="P2" s="161"/>
      <c r="Q2" s="161"/>
      <c r="R2" s="164"/>
      <c r="S2" s="164"/>
      <c r="T2" s="164"/>
      <c r="U2" s="164"/>
      <c r="V2" s="164"/>
      <c r="W2" s="164"/>
      <c r="X2" s="164"/>
      <c r="Y2" s="164"/>
      <c r="Z2" s="164"/>
      <c r="AA2" s="164"/>
      <c r="AB2" s="164"/>
      <c r="AC2" s="164"/>
      <c r="AD2" s="432"/>
    </row>
    <row r="3" spans="1:30" ht="15.75" x14ac:dyDescent="0.25">
      <c r="A3" s="786">
        <f>'BASE GRANTEE INFO &amp; UPDATES'!A2</f>
        <v>0</v>
      </c>
      <c r="B3" s="708"/>
      <c r="C3" s="708"/>
      <c r="D3" s="708"/>
      <c r="E3" s="708"/>
      <c r="F3" s="708"/>
      <c r="G3" s="708"/>
      <c r="H3" s="708"/>
      <c r="I3" s="708"/>
      <c r="J3" s="708"/>
      <c r="K3" s="708"/>
      <c r="L3" s="708"/>
      <c r="M3" s="708"/>
      <c r="N3" s="709"/>
      <c r="O3" s="164"/>
      <c r="P3" s="164"/>
      <c r="Q3" s="164"/>
      <c r="R3" s="164"/>
      <c r="S3" s="164"/>
      <c r="T3" s="164"/>
      <c r="U3" s="164"/>
      <c r="V3" s="164"/>
      <c r="W3" s="164"/>
      <c r="X3" s="164"/>
      <c r="Y3" s="164"/>
      <c r="Z3" s="164"/>
      <c r="AA3" s="164"/>
      <c r="AB3" s="164"/>
      <c r="AC3" s="164"/>
      <c r="AD3" s="433"/>
    </row>
    <row r="4" spans="1:30" ht="15.75" x14ac:dyDescent="0.25">
      <c r="A4" s="826"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11"/>
      <c r="N4" s="757"/>
      <c r="O4" s="164"/>
      <c r="P4" s="164"/>
      <c r="Q4" s="164"/>
      <c r="R4" s="164"/>
      <c r="S4" s="164"/>
      <c r="T4" s="164"/>
      <c r="U4" s="164"/>
      <c r="V4" s="164"/>
      <c r="W4" s="164"/>
      <c r="X4" s="164"/>
      <c r="Y4" s="164"/>
      <c r="Z4" s="164"/>
      <c r="AA4" s="164"/>
      <c r="AB4" s="164"/>
      <c r="AC4" s="164"/>
      <c r="AD4" s="433"/>
    </row>
    <row r="5" spans="1:30" ht="18.75" x14ac:dyDescent="0.25">
      <c r="A5" s="834" t="s">
        <v>514</v>
      </c>
      <c r="B5" s="698"/>
      <c r="C5" s="698"/>
      <c r="D5" s="698"/>
      <c r="E5" s="698"/>
      <c r="F5" s="698"/>
      <c r="G5" s="698"/>
      <c r="H5" s="698"/>
      <c r="I5" s="698"/>
      <c r="J5" s="698"/>
      <c r="K5" s="698"/>
      <c r="L5" s="698"/>
      <c r="M5" s="698"/>
      <c r="N5" s="714"/>
      <c r="O5" s="164"/>
      <c r="P5" s="164"/>
      <c r="Q5" s="164"/>
      <c r="R5" s="164"/>
      <c r="S5" s="164"/>
      <c r="T5" s="164"/>
      <c r="U5" s="164"/>
      <c r="V5" s="164"/>
      <c r="W5" s="164"/>
      <c r="X5" s="164"/>
      <c r="Y5" s="164"/>
      <c r="Z5" s="164"/>
      <c r="AA5" s="164"/>
      <c r="AB5" s="164"/>
      <c r="AC5" s="164"/>
      <c r="AD5" s="433"/>
    </row>
    <row r="6" spans="1:30" ht="19.5" customHeight="1" x14ac:dyDescent="0.25">
      <c r="A6" s="790" t="s">
        <v>515</v>
      </c>
      <c r="B6" s="698"/>
      <c r="C6" s="698"/>
      <c r="D6" s="699"/>
      <c r="E6" s="794" t="str">
        <f>'BASE GRANTEE INFO &amp; UPDATES'!E5</f>
        <v>Harm Reduction Program</v>
      </c>
      <c r="F6" s="698"/>
      <c r="G6" s="698"/>
      <c r="H6" s="699"/>
      <c r="I6" s="795" t="s">
        <v>0</v>
      </c>
      <c r="J6" s="698"/>
      <c r="K6" s="714"/>
      <c r="L6" s="832">
        <f>'BASE GRANTEE INFO &amp; UPDATES'!M5</f>
        <v>0</v>
      </c>
      <c r="M6" s="698"/>
      <c r="N6" s="714"/>
      <c r="O6" s="164"/>
      <c r="P6" s="164"/>
      <c r="Q6" s="164"/>
      <c r="R6" s="164"/>
      <c r="S6" s="164"/>
      <c r="T6" s="164"/>
      <c r="U6" s="164"/>
      <c r="V6" s="164"/>
      <c r="W6" s="164"/>
      <c r="X6" s="164"/>
      <c r="Y6" s="164"/>
      <c r="Z6" s="164"/>
      <c r="AA6" s="164"/>
      <c r="AB6" s="164"/>
      <c r="AC6" s="164"/>
      <c r="AD6" s="433"/>
    </row>
    <row r="7" spans="1:30" ht="19.5" customHeight="1" x14ac:dyDescent="0.25">
      <c r="A7" s="790" t="s">
        <v>516</v>
      </c>
      <c r="B7" s="698"/>
      <c r="C7" s="698"/>
      <c r="D7" s="699"/>
      <c r="E7" s="797">
        <f>'BASE GRANTEE INFO &amp; UPDATES'!E6</f>
        <v>0</v>
      </c>
      <c r="F7" s="698"/>
      <c r="G7" s="698"/>
      <c r="H7" s="699"/>
      <c r="I7" s="795" t="s">
        <v>1</v>
      </c>
      <c r="J7" s="698"/>
      <c r="K7" s="714"/>
      <c r="L7" s="832">
        <f>'BASE GRANTEE INFO &amp; UPDATES'!M6</f>
        <v>0</v>
      </c>
      <c r="M7" s="698"/>
      <c r="N7" s="714"/>
      <c r="O7" s="164"/>
      <c r="P7" s="164"/>
      <c r="Q7" s="164"/>
      <c r="R7" s="164"/>
      <c r="S7" s="164"/>
      <c r="T7" s="164"/>
      <c r="U7" s="164"/>
      <c r="V7" s="164"/>
      <c r="W7" s="164"/>
      <c r="X7" s="164"/>
      <c r="Y7" s="164"/>
      <c r="Z7" s="164"/>
      <c r="AA7" s="164"/>
      <c r="AB7" s="164"/>
      <c r="AC7" s="164"/>
      <c r="AD7" s="433"/>
    </row>
    <row r="8" spans="1:30" ht="19.5" customHeight="1" x14ac:dyDescent="0.25">
      <c r="A8" s="789" t="s">
        <v>2</v>
      </c>
      <c r="B8" s="766"/>
      <c r="C8" s="766"/>
      <c r="D8" s="767"/>
      <c r="E8" s="798">
        <f>'BASE GRANTEE INFO &amp; UPDATES'!E7</f>
        <v>0</v>
      </c>
      <c r="F8" s="766"/>
      <c r="G8" s="766"/>
      <c r="H8" s="767"/>
      <c r="I8" s="795" t="s">
        <v>3</v>
      </c>
      <c r="J8" s="698"/>
      <c r="K8" s="714"/>
      <c r="L8" s="832">
        <f>'BASE GRANTEE INFO &amp; UPDATES'!M7</f>
        <v>0</v>
      </c>
      <c r="M8" s="698"/>
      <c r="N8" s="714"/>
      <c r="O8" s="164"/>
      <c r="P8" s="164"/>
      <c r="Q8" s="164"/>
      <c r="R8" s="164"/>
      <c r="S8" s="164"/>
      <c r="T8" s="164"/>
      <c r="U8" s="164"/>
      <c r="V8" s="164"/>
      <c r="W8" s="164"/>
      <c r="X8" s="164"/>
      <c r="Y8" s="164"/>
      <c r="Z8" s="164"/>
      <c r="AA8" s="164"/>
      <c r="AB8" s="164"/>
      <c r="AC8" s="164"/>
      <c r="AD8" s="433"/>
    </row>
    <row r="9" spans="1:30" ht="19.5" customHeight="1" x14ac:dyDescent="0.25">
      <c r="A9" s="768"/>
      <c r="B9" s="769"/>
      <c r="C9" s="769"/>
      <c r="D9" s="770"/>
      <c r="E9" s="768"/>
      <c r="F9" s="769"/>
      <c r="G9" s="769"/>
      <c r="H9" s="770"/>
      <c r="I9" s="792" t="s">
        <v>517</v>
      </c>
      <c r="J9" s="698"/>
      <c r="K9" s="714"/>
      <c r="L9" s="832">
        <f>'BASE GRANTEE INFO &amp; UPDATES'!M8</f>
        <v>0</v>
      </c>
      <c r="M9" s="698"/>
      <c r="N9" s="714"/>
      <c r="O9" s="164"/>
      <c r="P9" s="164"/>
      <c r="Q9" s="164"/>
      <c r="R9" s="164"/>
      <c r="S9" s="164"/>
      <c r="T9" s="164"/>
      <c r="U9" s="164"/>
      <c r="V9" s="164"/>
      <c r="W9" s="164"/>
      <c r="X9" s="164"/>
      <c r="Y9" s="164"/>
      <c r="Z9" s="164"/>
      <c r="AA9" s="164"/>
      <c r="AB9" s="164"/>
      <c r="AC9" s="164"/>
      <c r="AD9" s="433"/>
    </row>
    <row r="10" spans="1:30" ht="19.5" customHeight="1" x14ac:dyDescent="0.25">
      <c r="A10" s="790" t="s">
        <v>518</v>
      </c>
      <c r="B10" s="698"/>
      <c r="C10" s="698"/>
      <c r="D10" s="699"/>
      <c r="E10" s="791" t="str">
        <f>'BASE GRANTEE INFO &amp; UPDATES'!E9</f>
        <v>September 1 - 30</v>
      </c>
      <c r="F10" s="699"/>
      <c r="G10" s="791">
        <f>'BASE GRANTEE INFO &amp; UPDATES'!G9</f>
        <v>2024</v>
      </c>
      <c r="H10" s="699"/>
      <c r="I10" s="792" t="s">
        <v>519</v>
      </c>
      <c r="J10" s="698"/>
      <c r="K10" s="714"/>
      <c r="L10" s="832">
        <f>'BASE GRANTEE INFO &amp; UPDATES'!M9</f>
        <v>0</v>
      </c>
      <c r="M10" s="698"/>
      <c r="N10" s="714"/>
      <c r="O10" s="164"/>
      <c r="P10" s="164"/>
      <c r="Q10" s="164"/>
      <c r="R10" s="164"/>
      <c r="S10" s="164"/>
      <c r="T10" s="164"/>
      <c r="U10" s="164"/>
      <c r="V10" s="164"/>
      <c r="W10" s="164"/>
      <c r="X10" s="164"/>
      <c r="Y10" s="164"/>
      <c r="Z10" s="164"/>
      <c r="AA10" s="164"/>
      <c r="AB10" s="164"/>
      <c r="AC10" s="164"/>
      <c r="AD10" s="433"/>
    </row>
    <row r="11" spans="1:30" ht="18.75" x14ac:dyDescent="0.25">
      <c r="A11" s="251" t="s">
        <v>520</v>
      </c>
      <c r="B11" s="251"/>
      <c r="C11" s="251"/>
      <c r="D11" s="251"/>
      <c r="E11" s="251"/>
      <c r="F11" s="251"/>
      <c r="G11" s="251"/>
      <c r="H11" s="251"/>
      <c r="I11" s="169"/>
      <c r="J11" s="171"/>
      <c r="K11" s="171"/>
      <c r="L11" s="171"/>
      <c r="M11" s="171"/>
      <c r="N11" s="171"/>
      <c r="O11" s="171"/>
      <c r="P11" s="171"/>
      <c r="Q11" s="434"/>
      <c r="R11" s="164"/>
      <c r="S11" s="164"/>
      <c r="T11" s="164"/>
      <c r="U11" s="164"/>
      <c r="V11" s="164"/>
      <c r="W11" s="164"/>
      <c r="X11" s="164"/>
      <c r="Y11" s="164"/>
      <c r="Z11" s="164"/>
      <c r="AA11" s="164"/>
      <c r="AB11" s="164"/>
      <c r="AC11" s="164"/>
      <c r="AD11" s="449"/>
    </row>
    <row r="12" spans="1:30" ht="60" customHeight="1" x14ac:dyDescent="0.25">
      <c r="A12" s="89" t="s">
        <v>27</v>
      </c>
      <c r="B12" s="124" t="s">
        <v>212</v>
      </c>
      <c r="C12" s="125" t="s">
        <v>213</v>
      </c>
      <c r="D12" s="124" t="s">
        <v>239</v>
      </c>
      <c r="E12" s="125" t="s">
        <v>398</v>
      </c>
      <c r="F12" s="437" t="s">
        <v>489</v>
      </c>
      <c r="G12" s="450" t="s">
        <v>490</v>
      </c>
      <c r="H12" s="451" t="s">
        <v>491</v>
      </c>
      <c r="I12" s="440" t="s">
        <v>492</v>
      </c>
      <c r="J12" s="450" t="s">
        <v>493</v>
      </c>
      <c r="K12" s="452" t="s">
        <v>494</v>
      </c>
      <c r="L12" s="450" t="s">
        <v>495</v>
      </c>
      <c r="M12" s="453" t="s">
        <v>496</v>
      </c>
      <c r="N12" s="454" t="s">
        <v>497</v>
      </c>
      <c r="O12" s="450" t="s">
        <v>498</v>
      </c>
      <c r="P12" s="455" t="s">
        <v>499</v>
      </c>
      <c r="Q12" s="450" t="s">
        <v>500</v>
      </c>
      <c r="R12" s="456" t="s">
        <v>521</v>
      </c>
      <c r="S12" s="440" t="s">
        <v>502</v>
      </c>
      <c r="T12" s="450" t="s">
        <v>503</v>
      </c>
      <c r="U12" s="452" t="s">
        <v>504</v>
      </c>
      <c r="V12" s="450" t="s">
        <v>505</v>
      </c>
      <c r="W12" s="456" t="s">
        <v>506</v>
      </c>
      <c r="X12" s="440" t="s">
        <v>507</v>
      </c>
      <c r="Y12" s="450" t="s">
        <v>508</v>
      </c>
      <c r="Z12" s="457" t="s">
        <v>509</v>
      </c>
      <c r="AA12" s="450" t="s">
        <v>510</v>
      </c>
      <c r="AB12" s="456" t="s">
        <v>511</v>
      </c>
      <c r="AC12" s="440" t="s">
        <v>512</v>
      </c>
      <c r="AD12" s="450" t="s">
        <v>513</v>
      </c>
    </row>
    <row r="13" spans="1:30" ht="39.75" customHeight="1" x14ac:dyDescent="0.25">
      <c r="A13" s="195">
        <f t="shared" ref="A13:A62" si="0">ROW(A1)</f>
        <v>1</v>
      </c>
      <c r="B13" s="110" t="e">
        <f>#REF!</f>
        <v>#REF!</v>
      </c>
      <c r="C13" s="111" t="e">
        <f>#REF!</f>
        <v>#REF!</v>
      </c>
      <c r="D13" s="112" t="e">
        <f>#REF!</f>
        <v>#REF!</v>
      </c>
      <c r="E13" s="113" t="e">
        <f>#REF!</f>
        <v>#REF!</v>
      </c>
      <c r="F13" s="458" t="e">
        <f t="shared" ref="F13:F62" si="1">E13+30</f>
        <v>#REF!</v>
      </c>
      <c r="G13" s="459">
        <v>44150</v>
      </c>
      <c r="H13" s="460" t="s">
        <v>522</v>
      </c>
      <c r="I13" s="461" t="s">
        <v>12</v>
      </c>
      <c r="J13" s="462" t="s">
        <v>129</v>
      </c>
      <c r="K13" s="463" t="e">
        <f t="shared" ref="K13:K62" si="2">E13+60</f>
        <v>#REF!</v>
      </c>
      <c r="L13" s="464">
        <v>44140</v>
      </c>
      <c r="M13" s="465" t="s">
        <v>522</v>
      </c>
      <c r="N13" s="466" t="s">
        <v>12</v>
      </c>
      <c r="O13" s="462" t="s">
        <v>129</v>
      </c>
      <c r="P13" s="467" t="e">
        <f t="shared" ref="P13:P62" si="3">E13+90</f>
        <v>#REF!</v>
      </c>
      <c r="Q13" s="464">
        <v>44211</v>
      </c>
      <c r="R13" s="460" t="s">
        <v>522</v>
      </c>
      <c r="S13" s="461" t="s">
        <v>12</v>
      </c>
      <c r="T13" s="462" t="s">
        <v>129</v>
      </c>
      <c r="U13" s="463" t="e">
        <f t="shared" ref="U13:U62" si="4">E13+180</f>
        <v>#REF!</v>
      </c>
      <c r="V13" s="464"/>
      <c r="W13" s="465" t="s">
        <v>522</v>
      </c>
      <c r="X13" s="466" t="s">
        <v>12</v>
      </c>
      <c r="Y13" s="462" t="s">
        <v>129</v>
      </c>
      <c r="Z13" s="467" t="e">
        <f t="shared" ref="Z13:Z62" si="5">E13+365</f>
        <v>#REF!</v>
      </c>
      <c r="AA13" s="464"/>
      <c r="AB13" s="460" t="s">
        <v>522</v>
      </c>
      <c r="AC13" s="466" t="s">
        <v>12</v>
      </c>
      <c r="AD13" s="462" t="s">
        <v>129</v>
      </c>
    </row>
    <row r="14" spans="1:30" ht="39.75" customHeight="1" x14ac:dyDescent="0.25">
      <c r="A14" s="195">
        <f t="shared" si="0"/>
        <v>2</v>
      </c>
      <c r="B14" s="110" t="e">
        <f>#REF!</f>
        <v>#REF!</v>
      </c>
      <c r="C14" s="111" t="e">
        <f>#REF!</f>
        <v>#REF!</v>
      </c>
      <c r="D14" s="112" t="e">
        <f>#REF!</f>
        <v>#REF!</v>
      </c>
      <c r="E14" s="113" t="e">
        <f>#REF!</f>
        <v>#REF!</v>
      </c>
      <c r="F14" s="458" t="e">
        <f t="shared" si="1"/>
        <v>#REF!</v>
      </c>
      <c r="G14" s="459">
        <v>44181</v>
      </c>
      <c r="H14" s="460" t="s">
        <v>523</v>
      </c>
      <c r="I14" s="461" t="s">
        <v>12</v>
      </c>
      <c r="J14" s="462" t="s">
        <v>230</v>
      </c>
      <c r="K14" s="463" t="e">
        <f t="shared" si="2"/>
        <v>#REF!</v>
      </c>
      <c r="L14" s="464">
        <v>44170</v>
      </c>
      <c r="M14" s="465" t="s">
        <v>523</v>
      </c>
      <c r="N14" s="466" t="s">
        <v>12</v>
      </c>
      <c r="O14" s="462" t="s">
        <v>230</v>
      </c>
      <c r="P14" s="467" t="e">
        <f t="shared" si="3"/>
        <v>#REF!</v>
      </c>
      <c r="Q14" s="464">
        <v>44247</v>
      </c>
      <c r="R14" s="460" t="s">
        <v>523</v>
      </c>
      <c r="S14" s="461" t="s">
        <v>12</v>
      </c>
      <c r="T14" s="462" t="s">
        <v>230</v>
      </c>
      <c r="U14" s="463" t="e">
        <f t="shared" si="4"/>
        <v>#REF!</v>
      </c>
      <c r="V14" s="464"/>
      <c r="W14" s="465" t="s">
        <v>523</v>
      </c>
      <c r="X14" s="466" t="s">
        <v>12</v>
      </c>
      <c r="Y14" s="462" t="s">
        <v>230</v>
      </c>
      <c r="Z14" s="467" t="e">
        <f t="shared" si="5"/>
        <v>#REF!</v>
      </c>
      <c r="AA14" s="464"/>
      <c r="AB14" s="460" t="s">
        <v>523</v>
      </c>
      <c r="AC14" s="466" t="s">
        <v>12</v>
      </c>
      <c r="AD14" s="462" t="s">
        <v>230</v>
      </c>
    </row>
    <row r="15" spans="1:30" ht="39.75" customHeight="1" x14ac:dyDescent="0.25">
      <c r="A15" s="195">
        <f t="shared" si="0"/>
        <v>3</v>
      </c>
      <c r="B15" s="110" t="e">
        <f>#REF!</f>
        <v>#REF!</v>
      </c>
      <c r="C15" s="111" t="e">
        <f>#REF!</f>
        <v>#REF!</v>
      </c>
      <c r="D15" s="112" t="e">
        <f>#REF!</f>
        <v>#REF!</v>
      </c>
      <c r="E15" s="113" t="e">
        <f>#REF!</f>
        <v>#REF!</v>
      </c>
      <c r="F15" s="458" t="e">
        <f t="shared" si="1"/>
        <v>#REF!</v>
      </c>
      <c r="G15" s="459">
        <v>44211</v>
      </c>
      <c r="H15" s="460" t="s">
        <v>524</v>
      </c>
      <c r="I15" s="461" t="s">
        <v>12</v>
      </c>
      <c r="J15" s="462" t="s">
        <v>129</v>
      </c>
      <c r="K15" s="463" t="e">
        <f t="shared" si="2"/>
        <v>#REF!</v>
      </c>
      <c r="L15" s="464">
        <v>44201</v>
      </c>
      <c r="M15" s="465" t="s">
        <v>524</v>
      </c>
      <c r="N15" s="466" t="s">
        <v>12</v>
      </c>
      <c r="O15" s="462" t="s">
        <v>129</v>
      </c>
      <c r="P15" s="467" t="e">
        <f t="shared" si="3"/>
        <v>#REF!</v>
      </c>
      <c r="Q15" s="464">
        <v>44275</v>
      </c>
      <c r="R15" s="460" t="s">
        <v>524</v>
      </c>
      <c r="S15" s="461" t="s">
        <v>12</v>
      </c>
      <c r="T15" s="462" t="s">
        <v>129</v>
      </c>
      <c r="U15" s="463" t="e">
        <f t="shared" si="4"/>
        <v>#REF!</v>
      </c>
      <c r="V15" s="464"/>
      <c r="W15" s="465" t="s">
        <v>524</v>
      </c>
      <c r="X15" s="466" t="s">
        <v>12</v>
      </c>
      <c r="Y15" s="462" t="s">
        <v>129</v>
      </c>
      <c r="Z15" s="467" t="e">
        <f t="shared" si="5"/>
        <v>#REF!</v>
      </c>
      <c r="AA15" s="464"/>
      <c r="AB15" s="460" t="s">
        <v>524</v>
      </c>
      <c r="AC15" s="466" t="s">
        <v>12</v>
      </c>
      <c r="AD15" s="462" t="s">
        <v>129</v>
      </c>
    </row>
    <row r="16" spans="1:30" ht="39.75" customHeight="1" x14ac:dyDescent="0.25">
      <c r="A16" s="195">
        <f t="shared" si="0"/>
        <v>4</v>
      </c>
      <c r="B16" s="110" t="e">
        <f>#REF!</f>
        <v>#REF!</v>
      </c>
      <c r="C16" s="111" t="e">
        <f>#REF!</f>
        <v>#REF!</v>
      </c>
      <c r="D16" s="112" t="e">
        <f>#REF!</f>
        <v>#REF!</v>
      </c>
      <c r="E16" s="113" t="e">
        <f>#REF!</f>
        <v>#REF!</v>
      </c>
      <c r="F16" s="458" t="e">
        <f t="shared" si="1"/>
        <v>#REF!</v>
      </c>
      <c r="G16" s="459">
        <v>44242</v>
      </c>
      <c r="H16" s="460" t="s">
        <v>522</v>
      </c>
      <c r="I16" s="461" t="s">
        <v>12</v>
      </c>
      <c r="J16" s="462" t="s">
        <v>230</v>
      </c>
      <c r="K16" s="463" t="e">
        <f t="shared" si="2"/>
        <v>#REF!</v>
      </c>
      <c r="L16" s="464">
        <v>44232</v>
      </c>
      <c r="M16" s="465" t="s">
        <v>522</v>
      </c>
      <c r="N16" s="466" t="s">
        <v>12</v>
      </c>
      <c r="O16" s="462" t="s">
        <v>230</v>
      </c>
      <c r="P16" s="467" t="e">
        <f t="shared" si="3"/>
        <v>#REF!</v>
      </c>
      <c r="Q16" s="464">
        <v>44296</v>
      </c>
      <c r="R16" s="460" t="s">
        <v>522</v>
      </c>
      <c r="S16" s="461" t="s">
        <v>12</v>
      </c>
      <c r="T16" s="462" t="s">
        <v>230</v>
      </c>
      <c r="U16" s="463" t="e">
        <f t="shared" si="4"/>
        <v>#REF!</v>
      </c>
      <c r="V16" s="464"/>
      <c r="W16" s="465" t="s">
        <v>522</v>
      </c>
      <c r="X16" s="466" t="s">
        <v>12</v>
      </c>
      <c r="Y16" s="462" t="s">
        <v>230</v>
      </c>
      <c r="Z16" s="467" t="e">
        <f t="shared" si="5"/>
        <v>#REF!</v>
      </c>
      <c r="AA16" s="464"/>
      <c r="AB16" s="460" t="s">
        <v>522</v>
      </c>
      <c r="AC16" s="466" t="s">
        <v>12</v>
      </c>
      <c r="AD16" s="462" t="s">
        <v>230</v>
      </c>
    </row>
    <row r="17" spans="1:30" ht="39.75" customHeight="1" x14ac:dyDescent="0.25">
      <c r="A17" s="195">
        <f t="shared" si="0"/>
        <v>5</v>
      </c>
      <c r="B17" s="110" t="e">
        <f>#REF!</f>
        <v>#REF!</v>
      </c>
      <c r="C17" s="111" t="e">
        <f>#REF!</f>
        <v>#REF!</v>
      </c>
      <c r="D17" s="112" t="e">
        <f>#REF!</f>
        <v>#REF!</v>
      </c>
      <c r="E17" s="113" t="e">
        <f>#REF!</f>
        <v>#REF!</v>
      </c>
      <c r="F17" s="458" t="e">
        <f t="shared" si="1"/>
        <v>#REF!</v>
      </c>
      <c r="G17" s="459">
        <v>44270</v>
      </c>
      <c r="H17" s="460" t="s">
        <v>523</v>
      </c>
      <c r="I17" s="461" t="s">
        <v>12</v>
      </c>
      <c r="J17" s="462" t="s">
        <v>129</v>
      </c>
      <c r="K17" s="463" t="e">
        <f t="shared" si="2"/>
        <v>#REF!</v>
      </c>
      <c r="L17" s="464">
        <v>44258</v>
      </c>
      <c r="M17" s="465" t="s">
        <v>523</v>
      </c>
      <c r="N17" s="466" t="s">
        <v>12</v>
      </c>
      <c r="O17" s="462" t="s">
        <v>129</v>
      </c>
      <c r="P17" s="467" t="e">
        <f t="shared" si="3"/>
        <v>#REF!</v>
      </c>
      <c r="Q17" s="464">
        <v>44326</v>
      </c>
      <c r="R17" s="460" t="s">
        <v>523</v>
      </c>
      <c r="S17" s="461" t="s">
        <v>12</v>
      </c>
      <c r="T17" s="462" t="s">
        <v>129</v>
      </c>
      <c r="U17" s="463" t="e">
        <f t="shared" si="4"/>
        <v>#REF!</v>
      </c>
      <c r="V17" s="464"/>
      <c r="W17" s="465" t="s">
        <v>523</v>
      </c>
      <c r="X17" s="466" t="s">
        <v>12</v>
      </c>
      <c r="Y17" s="462" t="s">
        <v>129</v>
      </c>
      <c r="Z17" s="467" t="e">
        <f t="shared" si="5"/>
        <v>#REF!</v>
      </c>
      <c r="AA17" s="464"/>
      <c r="AB17" s="460" t="s">
        <v>523</v>
      </c>
      <c r="AC17" s="466" t="s">
        <v>12</v>
      </c>
      <c r="AD17" s="462" t="s">
        <v>129</v>
      </c>
    </row>
    <row r="18" spans="1:30" ht="39.75" customHeight="1" x14ac:dyDescent="0.25">
      <c r="A18" s="195">
        <f t="shared" si="0"/>
        <v>6</v>
      </c>
      <c r="B18" s="110" t="e">
        <f>#REF!</f>
        <v>#REF!</v>
      </c>
      <c r="C18" s="111" t="e">
        <f>#REF!</f>
        <v>#REF!</v>
      </c>
      <c r="D18" s="112" t="e">
        <f>#REF!</f>
        <v>#REF!</v>
      </c>
      <c r="E18" s="113" t="e">
        <f>#REF!</f>
        <v>#REF!</v>
      </c>
      <c r="F18" s="458" t="e">
        <f t="shared" si="1"/>
        <v>#REF!</v>
      </c>
      <c r="G18" s="459">
        <v>44301</v>
      </c>
      <c r="H18" s="460" t="s">
        <v>524</v>
      </c>
      <c r="I18" s="461" t="s">
        <v>12</v>
      </c>
      <c r="J18" s="462" t="s">
        <v>230</v>
      </c>
      <c r="K18" s="463" t="e">
        <f t="shared" si="2"/>
        <v>#REF!</v>
      </c>
      <c r="L18" s="464">
        <v>44291</v>
      </c>
      <c r="M18" s="465" t="s">
        <v>524</v>
      </c>
      <c r="N18" s="466" t="s">
        <v>12</v>
      </c>
      <c r="O18" s="462" t="s">
        <v>230</v>
      </c>
      <c r="P18" s="467" t="e">
        <f t="shared" si="3"/>
        <v>#REF!</v>
      </c>
      <c r="Q18" s="464">
        <v>44358</v>
      </c>
      <c r="R18" s="460" t="s">
        <v>524</v>
      </c>
      <c r="S18" s="461" t="s">
        <v>12</v>
      </c>
      <c r="T18" s="462" t="s">
        <v>230</v>
      </c>
      <c r="U18" s="463" t="e">
        <f t="shared" si="4"/>
        <v>#REF!</v>
      </c>
      <c r="V18" s="464"/>
      <c r="W18" s="465" t="s">
        <v>524</v>
      </c>
      <c r="X18" s="466" t="s">
        <v>12</v>
      </c>
      <c r="Y18" s="462" t="s">
        <v>230</v>
      </c>
      <c r="Z18" s="467" t="e">
        <f t="shared" si="5"/>
        <v>#REF!</v>
      </c>
      <c r="AA18" s="464"/>
      <c r="AB18" s="460" t="s">
        <v>524</v>
      </c>
      <c r="AC18" s="466" t="s">
        <v>12</v>
      </c>
      <c r="AD18" s="462" t="s">
        <v>230</v>
      </c>
    </row>
    <row r="19" spans="1:30" ht="39.75" customHeight="1" x14ac:dyDescent="0.25">
      <c r="A19" s="195">
        <f t="shared" si="0"/>
        <v>7</v>
      </c>
      <c r="B19" s="110" t="e">
        <f>#REF!</f>
        <v>#REF!</v>
      </c>
      <c r="C19" s="111" t="e">
        <f>#REF!</f>
        <v>#REF!</v>
      </c>
      <c r="D19" s="112" t="e">
        <f>#REF!</f>
        <v>#REF!</v>
      </c>
      <c r="E19" s="113" t="e">
        <f>#REF!</f>
        <v>#REF!</v>
      </c>
      <c r="F19" s="458" t="e">
        <f t="shared" si="1"/>
        <v>#REF!</v>
      </c>
      <c r="G19" s="459">
        <v>44332</v>
      </c>
      <c r="H19" s="460" t="s">
        <v>522</v>
      </c>
      <c r="I19" s="461" t="s">
        <v>12</v>
      </c>
      <c r="J19" s="462" t="s">
        <v>129</v>
      </c>
      <c r="K19" s="463" t="e">
        <f t="shared" si="2"/>
        <v>#REF!</v>
      </c>
      <c r="L19" s="464">
        <v>44317</v>
      </c>
      <c r="M19" s="465" t="s">
        <v>522</v>
      </c>
      <c r="N19" s="466" t="s">
        <v>12</v>
      </c>
      <c r="O19" s="462" t="s">
        <v>129</v>
      </c>
      <c r="P19" s="467" t="e">
        <f t="shared" si="3"/>
        <v>#REF!</v>
      </c>
      <c r="Q19" s="464">
        <v>44392</v>
      </c>
      <c r="R19" s="460" t="s">
        <v>522</v>
      </c>
      <c r="S19" s="461" t="s">
        <v>12</v>
      </c>
      <c r="T19" s="462" t="s">
        <v>129</v>
      </c>
      <c r="U19" s="463" t="e">
        <f t="shared" si="4"/>
        <v>#REF!</v>
      </c>
      <c r="V19" s="464"/>
      <c r="W19" s="465" t="s">
        <v>522</v>
      </c>
      <c r="X19" s="466" t="s">
        <v>12</v>
      </c>
      <c r="Y19" s="462" t="s">
        <v>129</v>
      </c>
      <c r="Z19" s="467" t="e">
        <f t="shared" si="5"/>
        <v>#REF!</v>
      </c>
      <c r="AA19" s="464"/>
      <c r="AB19" s="460" t="s">
        <v>522</v>
      </c>
      <c r="AC19" s="466" t="s">
        <v>12</v>
      </c>
      <c r="AD19" s="462" t="s">
        <v>129</v>
      </c>
    </row>
    <row r="20" spans="1:30" ht="39.75" customHeight="1" x14ac:dyDescent="0.25">
      <c r="A20" s="195">
        <f t="shared" si="0"/>
        <v>8</v>
      </c>
      <c r="B20" s="110" t="e">
        <f>#REF!</f>
        <v>#REF!</v>
      </c>
      <c r="C20" s="111" t="e">
        <f>#REF!</f>
        <v>#REF!</v>
      </c>
      <c r="D20" s="112" t="e">
        <f>#REF!</f>
        <v>#REF!</v>
      </c>
      <c r="E20" s="113" t="e">
        <f>#REF!</f>
        <v>#REF!</v>
      </c>
      <c r="F20" s="458" t="e">
        <f t="shared" si="1"/>
        <v>#REF!</v>
      </c>
      <c r="G20" s="459">
        <v>44362</v>
      </c>
      <c r="H20" s="460" t="s">
        <v>523</v>
      </c>
      <c r="I20" s="461" t="s">
        <v>12</v>
      </c>
      <c r="J20" s="462" t="s">
        <v>230</v>
      </c>
      <c r="K20" s="463" t="e">
        <f t="shared" si="2"/>
        <v>#REF!</v>
      </c>
      <c r="L20" s="464">
        <v>44351</v>
      </c>
      <c r="M20" s="465" t="s">
        <v>523</v>
      </c>
      <c r="N20" s="466" t="s">
        <v>12</v>
      </c>
      <c r="O20" s="462" t="s">
        <v>230</v>
      </c>
      <c r="P20" s="467" t="e">
        <f t="shared" si="3"/>
        <v>#REF!</v>
      </c>
      <c r="Q20" s="464">
        <v>44423</v>
      </c>
      <c r="R20" s="460" t="s">
        <v>523</v>
      </c>
      <c r="S20" s="461" t="s">
        <v>12</v>
      </c>
      <c r="T20" s="462" t="s">
        <v>230</v>
      </c>
      <c r="U20" s="463" t="e">
        <f t="shared" si="4"/>
        <v>#REF!</v>
      </c>
      <c r="V20" s="464"/>
      <c r="W20" s="465" t="s">
        <v>523</v>
      </c>
      <c r="X20" s="466" t="s">
        <v>12</v>
      </c>
      <c r="Y20" s="462" t="s">
        <v>230</v>
      </c>
      <c r="Z20" s="467" t="e">
        <f t="shared" si="5"/>
        <v>#REF!</v>
      </c>
      <c r="AA20" s="464"/>
      <c r="AB20" s="460" t="s">
        <v>523</v>
      </c>
      <c r="AC20" s="466" t="s">
        <v>12</v>
      </c>
      <c r="AD20" s="462" t="s">
        <v>230</v>
      </c>
    </row>
    <row r="21" spans="1:30" ht="39.75" customHeight="1" x14ac:dyDescent="0.25">
      <c r="A21" s="195">
        <f t="shared" si="0"/>
        <v>9</v>
      </c>
      <c r="B21" s="110" t="e">
        <f>#REF!</f>
        <v>#REF!</v>
      </c>
      <c r="C21" s="111" t="e">
        <f>#REF!</f>
        <v>#REF!</v>
      </c>
      <c r="D21" s="112" t="e">
        <f>#REF!</f>
        <v>#REF!</v>
      </c>
      <c r="E21" s="113" t="e">
        <f>#REF!</f>
        <v>#REF!</v>
      </c>
      <c r="F21" s="458" t="e">
        <f t="shared" si="1"/>
        <v>#REF!</v>
      </c>
      <c r="G21" s="459">
        <v>44393</v>
      </c>
      <c r="H21" s="460" t="s">
        <v>524</v>
      </c>
      <c r="I21" s="461" t="s">
        <v>12</v>
      </c>
      <c r="J21" s="462" t="s">
        <v>129</v>
      </c>
      <c r="K21" s="463" t="e">
        <f t="shared" si="2"/>
        <v>#REF!</v>
      </c>
      <c r="L21" s="464">
        <v>44380</v>
      </c>
      <c r="M21" s="465" t="s">
        <v>524</v>
      </c>
      <c r="N21" s="466" t="s">
        <v>12</v>
      </c>
      <c r="O21" s="462" t="s">
        <v>129</v>
      </c>
      <c r="P21" s="467" t="e">
        <f t="shared" si="3"/>
        <v>#REF!</v>
      </c>
      <c r="Q21" s="464">
        <v>44360</v>
      </c>
      <c r="R21" s="460" t="s">
        <v>524</v>
      </c>
      <c r="S21" s="461" t="s">
        <v>12</v>
      </c>
      <c r="T21" s="462" t="s">
        <v>129</v>
      </c>
      <c r="U21" s="463" t="e">
        <f t="shared" si="4"/>
        <v>#REF!</v>
      </c>
      <c r="V21" s="464"/>
      <c r="W21" s="465" t="s">
        <v>524</v>
      </c>
      <c r="X21" s="466" t="s">
        <v>12</v>
      </c>
      <c r="Y21" s="462" t="s">
        <v>129</v>
      </c>
      <c r="Z21" s="467" t="e">
        <f t="shared" si="5"/>
        <v>#REF!</v>
      </c>
      <c r="AA21" s="464"/>
      <c r="AB21" s="460" t="s">
        <v>524</v>
      </c>
      <c r="AC21" s="466" t="s">
        <v>12</v>
      </c>
      <c r="AD21" s="462" t="s">
        <v>129</v>
      </c>
    </row>
    <row r="22" spans="1:30" ht="39.75" customHeight="1" x14ac:dyDescent="0.25">
      <c r="A22" s="195">
        <f t="shared" si="0"/>
        <v>10</v>
      </c>
      <c r="B22" s="110" t="e">
        <f>#REF!</f>
        <v>#REF!</v>
      </c>
      <c r="C22" s="111" t="e">
        <f>#REF!</f>
        <v>#REF!</v>
      </c>
      <c r="D22" s="112" t="e">
        <f>#REF!</f>
        <v>#REF!</v>
      </c>
      <c r="E22" s="113" t="e">
        <f>#REF!</f>
        <v>#REF!</v>
      </c>
      <c r="F22" s="458" t="e">
        <f t="shared" si="1"/>
        <v>#REF!</v>
      </c>
      <c r="G22" s="459">
        <v>44423</v>
      </c>
      <c r="H22" s="460" t="s">
        <v>522</v>
      </c>
      <c r="I22" s="461" t="s">
        <v>12</v>
      </c>
      <c r="J22" s="462" t="s">
        <v>230</v>
      </c>
      <c r="K22" s="463" t="e">
        <f t="shared" si="2"/>
        <v>#REF!</v>
      </c>
      <c r="L22" s="464">
        <v>44412</v>
      </c>
      <c r="M22" s="465" t="s">
        <v>522</v>
      </c>
      <c r="N22" s="466" t="s">
        <v>12</v>
      </c>
      <c r="O22" s="462" t="s">
        <v>230</v>
      </c>
      <c r="P22" s="467" t="e">
        <f t="shared" si="3"/>
        <v>#REF!</v>
      </c>
      <c r="Q22" s="464">
        <v>44444</v>
      </c>
      <c r="R22" s="460" t="s">
        <v>522</v>
      </c>
      <c r="S22" s="461" t="s">
        <v>12</v>
      </c>
      <c r="T22" s="462" t="s">
        <v>230</v>
      </c>
      <c r="U22" s="463" t="e">
        <f t="shared" si="4"/>
        <v>#REF!</v>
      </c>
      <c r="V22" s="464"/>
      <c r="W22" s="465" t="s">
        <v>522</v>
      </c>
      <c r="X22" s="466" t="s">
        <v>12</v>
      </c>
      <c r="Y22" s="462" t="s">
        <v>230</v>
      </c>
      <c r="Z22" s="467" t="e">
        <f t="shared" si="5"/>
        <v>#REF!</v>
      </c>
      <c r="AA22" s="464"/>
      <c r="AB22" s="460" t="s">
        <v>522</v>
      </c>
      <c r="AC22" s="466" t="s">
        <v>12</v>
      </c>
      <c r="AD22" s="462" t="s">
        <v>230</v>
      </c>
    </row>
    <row r="23" spans="1:30" ht="39.75" customHeight="1" x14ac:dyDescent="0.25">
      <c r="A23" s="195">
        <f t="shared" si="0"/>
        <v>11</v>
      </c>
      <c r="B23" s="110" t="e">
        <f>#REF!</f>
        <v>#REF!</v>
      </c>
      <c r="C23" s="111" t="e">
        <f>#REF!</f>
        <v>#REF!</v>
      </c>
      <c r="D23" s="112" t="e">
        <f>#REF!</f>
        <v>#REF!</v>
      </c>
      <c r="E23" s="113" t="e">
        <f>#REF!</f>
        <v>#REF!</v>
      </c>
      <c r="F23" s="458" t="e">
        <f t="shared" si="1"/>
        <v>#REF!</v>
      </c>
      <c r="G23" s="459">
        <v>44453</v>
      </c>
      <c r="H23" s="460" t="s">
        <v>523</v>
      </c>
      <c r="I23" s="461" t="s">
        <v>12</v>
      </c>
      <c r="J23" s="462" t="s">
        <v>129</v>
      </c>
      <c r="K23" s="463" t="e">
        <f t="shared" si="2"/>
        <v>#REF!</v>
      </c>
      <c r="L23" s="464">
        <v>44439</v>
      </c>
      <c r="M23" s="465" t="s">
        <v>523</v>
      </c>
      <c r="N23" s="466" t="s">
        <v>12</v>
      </c>
      <c r="O23" s="462" t="s">
        <v>129</v>
      </c>
      <c r="P23" s="467" t="e">
        <f t="shared" si="3"/>
        <v>#REF!</v>
      </c>
      <c r="Q23" s="464">
        <v>44515</v>
      </c>
      <c r="R23" s="460" t="s">
        <v>523</v>
      </c>
      <c r="S23" s="461" t="s">
        <v>12</v>
      </c>
      <c r="T23" s="462" t="s">
        <v>129</v>
      </c>
      <c r="U23" s="463" t="e">
        <f t="shared" si="4"/>
        <v>#REF!</v>
      </c>
      <c r="V23" s="464"/>
      <c r="W23" s="465" t="s">
        <v>523</v>
      </c>
      <c r="X23" s="466" t="s">
        <v>12</v>
      </c>
      <c r="Y23" s="462" t="s">
        <v>129</v>
      </c>
      <c r="Z23" s="467" t="e">
        <f t="shared" si="5"/>
        <v>#REF!</v>
      </c>
      <c r="AA23" s="464"/>
      <c r="AB23" s="460" t="s">
        <v>523</v>
      </c>
      <c r="AC23" s="466" t="s">
        <v>12</v>
      </c>
      <c r="AD23" s="462" t="s">
        <v>129</v>
      </c>
    </row>
    <row r="24" spans="1:30" ht="39.75" customHeight="1" x14ac:dyDescent="0.25">
      <c r="A24" s="195">
        <f t="shared" si="0"/>
        <v>12</v>
      </c>
      <c r="B24" s="110" t="e">
        <f>#REF!</f>
        <v>#REF!</v>
      </c>
      <c r="C24" s="111" t="e">
        <f>#REF!</f>
        <v>#REF!</v>
      </c>
      <c r="D24" s="112" t="e">
        <f>#REF!</f>
        <v>#REF!</v>
      </c>
      <c r="E24" s="113" t="e">
        <f>#REF!</f>
        <v>#REF!</v>
      </c>
      <c r="F24" s="458" t="e">
        <f t="shared" si="1"/>
        <v>#REF!</v>
      </c>
      <c r="G24" s="459">
        <v>44484</v>
      </c>
      <c r="H24" s="460" t="s">
        <v>524</v>
      </c>
      <c r="I24" s="461" t="s">
        <v>12</v>
      </c>
      <c r="J24" s="462" t="s">
        <v>230</v>
      </c>
      <c r="K24" s="463" t="e">
        <f t="shared" si="2"/>
        <v>#REF!</v>
      </c>
      <c r="L24" s="464">
        <v>44473</v>
      </c>
      <c r="M24" s="465" t="s">
        <v>524</v>
      </c>
      <c r="N24" s="466" t="s">
        <v>12</v>
      </c>
      <c r="O24" s="462" t="s">
        <v>230</v>
      </c>
      <c r="P24" s="467" t="e">
        <f t="shared" si="3"/>
        <v>#REF!</v>
      </c>
      <c r="Q24" s="464">
        <v>44545</v>
      </c>
      <c r="R24" s="460" t="s">
        <v>524</v>
      </c>
      <c r="S24" s="461" t="s">
        <v>12</v>
      </c>
      <c r="T24" s="462" t="s">
        <v>230</v>
      </c>
      <c r="U24" s="463" t="e">
        <f t="shared" si="4"/>
        <v>#REF!</v>
      </c>
      <c r="V24" s="464"/>
      <c r="W24" s="465" t="s">
        <v>524</v>
      </c>
      <c r="X24" s="466" t="s">
        <v>12</v>
      </c>
      <c r="Y24" s="462" t="s">
        <v>230</v>
      </c>
      <c r="Z24" s="467" t="e">
        <f t="shared" si="5"/>
        <v>#REF!</v>
      </c>
      <c r="AA24" s="464"/>
      <c r="AB24" s="460" t="s">
        <v>524</v>
      </c>
      <c r="AC24" s="466" t="s">
        <v>12</v>
      </c>
      <c r="AD24" s="462" t="s">
        <v>230</v>
      </c>
    </row>
    <row r="25" spans="1:30" ht="39.75" customHeight="1" x14ac:dyDescent="0.25">
      <c r="A25" s="195">
        <f t="shared" si="0"/>
        <v>13</v>
      </c>
      <c r="B25" s="110" t="e">
        <f>#REF!</f>
        <v>#REF!</v>
      </c>
      <c r="C25" s="111" t="e">
        <f>#REF!</f>
        <v>#REF!</v>
      </c>
      <c r="D25" s="112" t="e">
        <f>#REF!</f>
        <v>#REF!</v>
      </c>
      <c r="E25" s="113" t="e">
        <f>#REF!</f>
        <v>#REF!</v>
      </c>
      <c r="F25" s="458" t="e">
        <f t="shared" si="1"/>
        <v>#REF!</v>
      </c>
      <c r="G25" s="459">
        <v>44150</v>
      </c>
      <c r="H25" s="460" t="s">
        <v>522</v>
      </c>
      <c r="I25" s="461" t="s">
        <v>12</v>
      </c>
      <c r="J25" s="462" t="s">
        <v>129</v>
      </c>
      <c r="K25" s="463" t="e">
        <f t="shared" si="2"/>
        <v>#REF!</v>
      </c>
      <c r="L25" s="464">
        <v>44138</v>
      </c>
      <c r="M25" s="465" t="s">
        <v>522</v>
      </c>
      <c r="N25" s="466" t="s">
        <v>12</v>
      </c>
      <c r="O25" s="462" t="s">
        <v>129</v>
      </c>
      <c r="P25" s="467" t="e">
        <f t="shared" si="3"/>
        <v>#REF!</v>
      </c>
      <c r="Q25" s="464">
        <v>44211</v>
      </c>
      <c r="R25" s="460" t="s">
        <v>522</v>
      </c>
      <c r="S25" s="461" t="s">
        <v>12</v>
      </c>
      <c r="T25" s="462" t="s">
        <v>129</v>
      </c>
      <c r="U25" s="463" t="e">
        <f t="shared" si="4"/>
        <v>#REF!</v>
      </c>
      <c r="V25" s="464"/>
      <c r="W25" s="465" t="s">
        <v>522</v>
      </c>
      <c r="X25" s="466" t="s">
        <v>12</v>
      </c>
      <c r="Y25" s="462" t="s">
        <v>129</v>
      </c>
      <c r="Z25" s="467" t="e">
        <f t="shared" si="5"/>
        <v>#REF!</v>
      </c>
      <c r="AA25" s="464"/>
      <c r="AB25" s="460" t="s">
        <v>522</v>
      </c>
      <c r="AC25" s="466" t="s">
        <v>12</v>
      </c>
      <c r="AD25" s="462" t="s">
        <v>129</v>
      </c>
    </row>
    <row r="26" spans="1:30" ht="39.75" customHeight="1" x14ac:dyDescent="0.25">
      <c r="A26" s="195">
        <f t="shared" si="0"/>
        <v>14</v>
      </c>
      <c r="B26" s="110" t="e">
        <f>#REF!</f>
        <v>#REF!</v>
      </c>
      <c r="C26" s="111" t="e">
        <f>#REF!</f>
        <v>#REF!</v>
      </c>
      <c r="D26" s="112" t="e">
        <f>#REF!</f>
        <v>#REF!</v>
      </c>
      <c r="E26" s="113" t="e">
        <f>#REF!</f>
        <v>#REF!</v>
      </c>
      <c r="F26" s="458" t="e">
        <f t="shared" si="1"/>
        <v>#REF!</v>
      </c>
      <c r="G26" s="459">
        <v>44181</v>
      </c>
      <c r="H26" s="460" t="s">
        <v>523</v>
      </c>
      <c r="I26" s="461" t="s">
        <v>12</v>
      </c>
      <c r="J26" s="462" t="s">
        <v>230</v>
      </c>
      <c r="K26" s="463" t="e">
        <f t="shared" si="2"/>
        <v>#REF!</v>
      </c>
      <c r="L26" s="464">
        <v>44137</v>
      </c>
      <c r="M26" s="465" t="s">
        <v>523</v>
      </c>
      <c r="N26" s="466" t="s">
        <v>12</v>
      </c>
      <c r="O26" s="462" t="s">
        <v>230</v>
      </c>
      <c r="P26" s="467" t="e">
        <f t="shared" si="3"/>
        <v>#REF!</v>
      </c>
      <c r="Q26" s="464">
        <v>44247</v>
      </c>
      <c r="R26" s="460" t="s">
        <v>523</v>
      </c>
      <c r="S26" s="461" t="s">
        <v>12</v>
      </c>
      <c r="T26" s="462" t="s">
        <v>230</v>
      </c>
      <c r="U26" s="463" t="e">
        <f t="shared" si="4"/>
        <v>#REF!</v>
      </c>
      <c r="V26" s="464"/>
      <c r="W26" s="465" t="s">
        <v>523</v>
      </c>
      <c r="X26" s="466" t="s">
        <v>12</v>
      </c>
      <c r="Y26" s="462" t="s">
        <v>230</v>
      </c>
      <c r="Z26" s="467" t="e">
        <f t="shared" si="5"/>
        <v>#REF!</v>
      </c>
      <c r="AA26" s="464"/>
      <c r="AB26" s="460" t="s">
        <v>523</v>
      </c>
      <c r="AC26" s="466" t="s">
        <v>12</v>
      </c>
      <c r="AD26" s="462" t="s">
        <v>230</v>
      </c>
    </row>
    <row r="27" spans="1:30" ht="39.75" customHeight="1" x14ac:dyDescent="0.25">
      <c r="A27" s="195">
        <f t="shared" si="0"/>
        <v>15</v>
      </c>
      <c r="B27" s="110" t="e">
        <f>#REF!</f>
        <v>#REF!</v>
      </c>
      <c r="C27" s="111" t="e">
        <f>#REF!</f>
        <v>#REF!</v>
      </c>
      <c r="D27" s="112" t="e">
        <f>#REF!</f>
        <v>#REF!</v>
      </c>
      <c r="E27" s="113" t="e">
        <f>#REF!</f>
        <v>#REF!</v>
      </c>
      <c r="F27" s="458" t="e">
        <f t="shared" si="1"/>
        <v>#REF!</v>
      </c>
      <c r="G27" s="459">
        <v>44211</v>
      </c>
      <c r="H27" s="460" t="s">
        <v>524</v>
      </c>
      <c r="I27" s="461" t="s">
        <v>12</v>
      </c>
      <c r="J27" s="462" t="s">
        <v>129</v>
      </c>
      <c r="K27" s="463" t="e">
        <f t="shared" si="2"/>
        <v>#REF!</v>
      </c>
      <c r="L27" s="464">
        <v>44197</v>
      </c>
      <c r="M27" s="465" t="s">
        <v>524</v>
      </c>
      <c r="N27" s="466" t="s">
        <v>12</v>
      </c>
      <c r="O27" s="462" t="s">
        <v>129</v>
      </c>
      <c r="P27" s="467" t="e">
        <f t="shared" si="3"/>
        <v>#REF!</v>
      </c>
      <c r="Q27" s="464">
        <v>44275</v>
      </c>
      <c r="R27" s="460" t="s">
        <v>524</v>
      </c>
      <c r="S27" s="461" t="s">
        <v>12</v>
      </c>
      <c r="T27" s="462" t="s">
        <v>129</v>
      </c>
      <c r="U27" s="463" t="e">
        <f t="shared" si="4"/>
        <v>#REF!</v>
      </c>
      <c r="V27" s="464"/>
      <c r="W27" s="465" t="s">
        <v>524</v>
      </c>
      <c r="X27" s="466" t="s">
        <v>12</v>
      </c>
      <c r="Y27" s="462" t="s">
        <v>129</v>
      </c>
      <c r="Z27" s="467" t="e">
        <f t="shared" si="5"/>
        <v>#REF!</v>
      </c>
      <c r="AA27" s="464"/>
      <c r="AB27" s="460" t="s">
        <v>524</v>
      </c>
      <c r="AC27" s="466" t="s">
        <v>12</v>
      </c>
      <c r="AD27" s="462" t="s">
        <v>129</v>
      </c>
    </row>
    <row r="28" spans="1:30" ht="39.75" customHeight="1" x14ac:dyDescent="0.25">
      <c r="A28" s="195">
        <f t="shared" si="0"/>
        <v>16</v>
      </c>
      <c r="B28" s="110" t="e">
        <f>#REF!</f>
        <v>#REF!</v>
      </c>
      <c r="C28" s="111" t="e">
        <f>#REF!</f>
        <v>#REF!</v>
      </c>
      <c r="D28" s="112" t="e">
        <f>#REF!</f>
        <v>#REF!</v>
      </c>
      <c r="E28" s="113" t="e">
        <f>#REF!</f>
        <v>#REF!</v>
      </c>
      <c r="F28" s="458" t="e">
        <f t="shared" si="1"/>
        <v>#REF!</v>
      </c>
      <c r="G28" s="459">
        <v>44242</v>
      </c>
      <c r="H28" s="460" t="s">
        <v>522</v>
      </c>
      <c r="I28" s="461" t="s">
        <v>12</v>
      </c>
      <c r="J28" s="462" t="s">
        <v>230</v>
      </c>
      <c r="K28" s="463" t="e">
        <f t="shared" si="2"/>
        <v>#REF!</v>
      </c>
      <c r="L28" s="464">
        <v>44230</v>
      </c>
      <c r="M28" s="465" t="s">
        <v>522</v>
      </c>
      <c r="N28" s="466" t="s">
        <v>12</v>
      </c>
      <c r="O28" s="462" t="s">
        <v>230</v>
      </c>
      <c r="P28" s="467" t="e">
        <f t="shared" si="3"/>
        <v>#REF!</v>
      </c>
      <c r="Q28" s="464">
        <v>44296</v>
      </c>
      <c r="R28" s="460" t="s">
        <v>522</v>
      </c>
      <c r="S28" s="461" t="s">
        <v>12</v>
      </c>
      <c r="T28" s="462" t="s">
        <v>230</v>
      </c>
      <c r="U28" s="463" t="e">
        <f t="shared" si="4"/>
        <v>#REF!</v>
      </c>
      <c r="V28" s="464"/>
      <c r="W28" s="465" t="s">
        <v>522</v>
      </c>
      <c r="X28" s="466" t="s">
        <v>12</v>
      </c>
      <c r="Y28" s="462" t="s">
        <v>230</v>
      </c>
      <c r="Z28" s="467" t="e">
        <f t="shared" si="5"/>
        <v>#REF!</v>
      </c>
      <c r="AA28" s="464"/>
      <c r="AB28" s="460" t="s">
        <v>522</v>
      </c>
      <c r="AC28" s="466" t="s">
        <v>12</v>
      </c>
      <c r="AD28" s="462" t="s">
        <v>230</v>
      </c>
    </row>
    <row r="29" spans="1:30" ht="39.75" customHeight="1" x14ac:dyDescent="0.25">
      <c r="A29" s="195">
        <f t="shared" si="0"/>
        <v>17</v>
      </c>
      <c r="B29" s="110" t="e">
        <f>#REF!</f>
        <v>#REF!</v>
      </c>
      <c r="C29" s="111" t="e">
        <f>#REF!</f>
        <v>#REF!</v>
      </c>
      <c r="D29" s="112" t="e">
        <f>#REF!</f>
        <v>#REF!</v>
      </c>
      <c r="E29" s="113" t="e">
        <f>#REF!</f>
        <v>#REF!</v>
      </c>
      <c r="F29" s="458" t="e">
        <f t="shared" si="1"/>
        <v>#REF!</v>
      </c>
      <c r="G29" s="459">
        <v>44270</v>
      </c>
      <c r="H29" s="460" t="s">
        <v>523</v>
      </c>
      <c r="I29" s="461" t="s">
        <v>12</v>
      </c>
      <c r="J29" s="462" t="s">
        <v>129</v>
      </c>
      <c r="K29" s="463" t="e">
        <f t="shared" si="2"/>
        <v>#REF!</v>
      </c>
      <c r="L29" s="464"/>
      <c r="M29" s="465" t="s">
        <v>523</v>
      </c>
      <c r="N29" s="466" t="s">
        <v>12</v>
      </c>
      <c r="O29" s="462" t="s">
        <v>129</v>
      </c>
      <c r="P29" s="467" t="e">
        <f t="shared" si="3"/>
        <v>#REF!</v>
      </c>
      <c r="Q29" s="464">
        <v>44326</v>
      </c>
      <c r="R29" s="460" t="s">
        <v>523</v>
      </c>
      <c r="S29" s="461" t="s">
        <v>12</v>
      </c>
      <c r="T29" s="462" t="s">
        <v>129</v>
      </c>
      <c r="U29" s="463" t="e">
        <f t="shared" si="4"/>
        <v>#REF!</v>
      </c>
      <c r="V29" s="464"/>
      <c r="W29" s="465" t="s">
        <v>523</v>
      </c>
      <c r="X29" s="466" t="s">
        <v>12</v>
      </c>
      <c r="Y29" s="462" t="s">
        <v>129</v>
      </c>
      <c r="Z29" s="467" t="e">
        <f t="shared" si="5"/>
        <v>#REF!</v>
      </c>
      <c r="AA29" s="464"/>
      <c r="AB29" s="460" t="s">
        <v>523</v>
      </c>
      <c r="AC29" s="466" t="s">
        <v>12</v>
      </c>
      <c r="AD29" s="462" t="s">
        <v>129</v>
      </c>
    </row>
    <row r="30" spans="1:30" ht="39.75" customHeight="1" x14ac:dyDescent="0.25">
      <c r="A30" s="195">
        <f t="shared" si="0"/>
        <v>18</v>
      </c>
      <c r="B30" s="110" t="e">
        <f>#REF!</f>
        <v>#REF!</v>
      </c>
      <c r="C30" s="111" t="e">
        <f>#REF!</f>
        <v>#REF!</v>
      </c>
      <c r="D30" s="112" t="e">
        <f>#REF!</f>
        <v>#REF!</v>
      </c>
      <c r="E30" s="113" t="e">
        <f>#REF!</f>
        <v>#REF!</v>
      </c>
      <c r="F30" s="458" t="e">
        <f t="shared" si="1"/>
        <v>#REF!</v>
      </c>
      <c r="G30" s="459">
        <v>44301</v>
      </c>
      <c r="H30" s="460" t="s">
        <v>524</v>
      </c>
      <c r="I30" s="461" t="s">
        <v>12</v>
      </c>
      <c r="J30" s="462" t="s">
        <v>230</v>
      </c>
      <c r="K30" s="463" t="e">
        <f t="shared" si="2"/>
        <v>#REF!</v>
      </c>
      <c r="L30" s="464"/>
      <c r="M30" s="465" t="s">
        <v>524</v>
      </c>
      <c r="N30" s="466" t="s">
        <v>12</v>
      </c>
      <c r="O30" s="462" t="s">
        <v>230</v>
      </c>
      <c r="P30" s="467" t="e">
        <f t="shared" si="3"/>
        <v>#REF!</v>
      </c>
      <c r="Q30" s="464">
        <v>44358</v>
      </c>
      <c r="R30" s="460" t="s">
        <v>524</v>
      </c>
      <c r="S30" s="461" t="s">
        <v>12</v>
      </c>
      <c r="T30" s="462" t="s">
        <v>230</v>
      </c>
      <c r="U30" s="463" t="e">
        <f t="shared" si="4"/>
        <v>#REF!</v>
      </c>
      <c r="V30" s="464"/>
      <c r="W30" s="465" t="s">
        <v>524</v>
      </c>
      <c r="X30" s="466" t="s">
        <v>12</v>
      </c>
      <c r="Y30" s="462" t="s">
        <v>230</v>
      </c>
      <c r="Z30" s="467" t="e">
        <f t="shared" si="5"/>
        <v>#REF!</v>
      </c>
      <c r="AA30" s="464"/>
      <c r="AB30" s="460" t="s">
        <v>524</v>
      </c>
      <c r="AC30" s="466" t="s">
        <v>12</v>
      </c>
      <c r="AD30" s="462" t="s">
        <v>230</v>
      </c>
    </row>
    <row r="31" spans="1:30" ht="39.75" customHeight="1" x14ac:dyDescent="0.25">
      <c r="A31" s="195">
        <f t="shared" si="0"/>
        <v>19</v>
      </c>
      <c r="B31" s="110" t="e">
        <f>#REF!</f>
        <v>#REF!</v>
      </c>
      <c r="C31" s="111" t="e">
        <f>#REF!</f>
        <v>#REF!</v>
      </c>
      <c r="D31" s="112" t="e">
        <f>#REF!</f>
        <v>#REF!</v>
      </c>
      <c r="E31" s="113" t="e">
        <f>#REF!</f>
        <v>#REF!</v>
      </c>
      <c r="F31" s="458" t="e">
        <f t="shared" si="1"/>
        <v>#REF!</v>
      </c>
      <c r="G31" s="459">
        <v>44332</v>
      </c>
      <c r="H31" s="460" t="s">
        <v>522</v>
      </c>
      <c r="I31" s="461" t="s">
        <v>12</v>
      </c>
      <c r="J31" s="462" t="s">
        <v>129</v>
      </c>
      <c r="K31" s="463" t="e">
        <f t="shared" si="2"/>
        <v>#REF!</v>
      </c>
      <c r="L31" s="464"/>
      <c r="M31" s="465" t="s">
        <v>522</v>
      </c>
      <c r="N31" s="466" t="s">
        <v>12</v>
      </c>
      <c r="O31" s="462" t="s">
        <v>129</v>
      </c>
      <c r="P31" s="467" t="e">
        <f t="shared" si="3"/>
        <v>#REF!</v>
      </c>
      <c r="Q31" s="464">
        <v>44392</v>
      </c>
      <c r="R31" s="460" t="s">
        <v>522</v>
      </c>
      <c r="S31" s="461" t="s">
        <v>12</v>
      </c>
      <c r="T31" s="462" t="s">
        <v>129</v>
      </c>
      <c r="U31" s="463" t="e">
        <f t="shared" si="4"/>
        <v>#REF!</v>
      </c>
      <c r="V31" s="464"/>
      <c r="W31" s="465" t="s">
        <v>522</v>
      </c>
      <c r="X31" s="466" t="s">
        <v>12</v>
      </c>
      <c r="Y31" s="462" t="s">
        <v>129</v>
      </c>
      <c r="Z31" s="467" t="e">
        <f t="shared" si="5"/>
        <v>#REF!</v>
      </c>
      <c r="AA31" s="464"/>
      <c r="AB31" s="460" t="s">
        <v>522</v>
      </c>
      <c r="AC31" s="466" t="s">
        <v>12</v>
      </c>
      <c r="AD31" s="462" t="s">
        <v>129</v>
      </c>
    </row>
    <row r="32" spans="1:30" ht="39.75" customHeight="1" x14ac:dyDescent="0.25">
      <c r="A32" s="195">
        <f t="shared" si="0"/>
        <v>20</v>
      </c>
      <c r="B32" s="110" t="e">
        <f>#REF!</f>
        <v>#REF!</v>
      </c>
      <c r="C32" s="111" t="e">
        <f>#REF!</f>
        <v>#REF!</v>
      </c>
      <c r="D32" s="112" t="e">
        <f>#REF!</f>
        <v>#REF!</v>
      </c>
      <c r="E32" s="113" t="e">
        <f>#REF!</f>
        <v>#REF!</v>
      </c>
      <c r="F32" s="458" t="e">
        <f t="shared" si="1"/>
        <v>#REF!</v>
      </c>
      <c r="G32" s="459">
        <v>44362</v>
      </c>
      <c r="H32" s="460" t="s">
        <v>523</v>
      </c>
      <c r="I32" s="461" t="s">
        <v>12</v>
      </c>
      <c r="J32" s="462" t="s">
        <v>230</v>
      </c>
      <c r="K32" s="463" t="e">
        <f t="shared" si="2"/>
        <v>#REF!</v>
      </c>
      <c r="L32" s="464"/>
      <c r="M32" s="465" t="s">
        <v>523</v>
      </c>
      <c r="N32" s="466" t="s">
        <v>12</v>
      </c>
      <c r="O32" s="462" t="s">
        <v>230</v>
      </c>
      <c r="P32" s="467" t="e">
        <f t="shared" si="3"/>
        <v>#REF!</v>
      </c>
      <c r="Q32" s="464">
        <v>44423</v>
      </c>
      <c r="R32" s="460" t="s">
        <v>523</v>
      </c>
      <c r="S32" s="461" t="s">
        <v>12</v>
      </c>
      <c r="T32" s="462" t="s">
        <v>230</v>
      </c>
      <c r="U32" s="463" t="e">
        <f t="shared" si="4"/>
        <v>#REF!</v>
      </c>
      <c r="V32" s="464"/>
      <c r="W32" s="465" t="s">
        <v>523</v>
      </c>
      <c r="X32" s="466" t="s">
        <v>12</v>
      </c>
      <c r="Y32" s="462" t="s">
        <v>230</v>
      </c>
      <c r="Z32" s="467" t="e">
        <f t="shared" si="5"/>
        <v>#REF!</v>
      </c>
      <c r="AA32" s="464"/>
      <c r="AB32" s="460" t="s">
        <v>523</v>
      </c>
      <c r="AC32" s="466" t="s">
        <v>12</v>
      </c>
      <c r="AD32" s="462" t="s">
        <v>230</v>
      </c>
    </row>
    <row r="33" spans="1:30" ht="39.75" customHeight="1" x14ac:dyDescent="0.25">
      <c r="A33" s="195">
        <f t="shared" si="0"/>
        <v>21</v>
      </c>
      <c r="B33" s="110" t="e">
        <f>#REF!</f>
        <v>#REF!</v>
      </c>
      <c r="C33" s="111" t="e">
        <f>#REF!</f>
        <v>#REF!</v>
      </c>
      <c r="D33" s="112" t="e">
        <f>#REF!</f>
        <v>#REF!</v>
      </c>
      <c r="E33" s="113" t="e">
        <f>#REF!</f>
        <v>#REF!</v>
      </c>
      <c r="F33" s="458" t="e">
        <f t="shared" si="1"/>
        <v>#REF!</v>
      </c>
      <c r="G33" s="459">
        <v>44393</v>
      </c>
      <c r="H33" s="460" t="s">
        <v>524</v>
      </c>
      <c r="I33" s="461" t="s">
        <v>12</v>
      </c>
      <c r="J33" s="462" t="s">
        <v>129</v>
      </c>
      <c r="K33" s="463" t="e">
        <f t="shared" si="2"/>
        <v>#REF!</v>
      </c>
      <c r="L33" s="464"/>
      <c r="M33" s="465" t="s">
        <v>524</v>
      </c>
      <c r="N33" s="466" t="s">
        <v>12</v>
      </c>
      <c r="O33" s="462" t="s">
        <v>129</v>
      </c>
      <c r="P33" s="467" t="e">
        <f t="shared" si="3"/>
        <v>#REF!</v>
      </c>
      <c r="Q33" s="464">
        <v>44360</v>
      </c>
      <c r="R33" s="460" t="s">
        <v>524</v>
      </c>
      <c r="S33" s="461" t="s">
        <v>12</v>
      </c>
      <c r="T33" s="462" t="s">
        <v>129</v>
      </c>
      <c r="U33" s="463" t="e">
        <f t="shared" si="4"/>
        <v>#REF!</v>
      </c>
      <c r="V33" s="464"/>
      <c r="W33" s="465" t="s">
        <v>524</v>
      </c>
      <c r="X33" s="466" t="s">
        <v>12</v>
      </c>
      <c r="Y33" s="462" t="s">
        <v>129</v>
      </c>
      <c r="Z33" s="467" t="e">
        <f t="shared" si="5"/>
        <v>#REF!</v>
      </c>
      <c r="AA33" s="464"/>
      <c r="AB33" s="460" t="s">
        <v>524</v>
      </c>
      <c r="AC33" s="466" t="s">
        <v>12</v>
      </c>
      <c r="AD33" s="462" t="s">
        <v>129</v>
      </c>
    </row>
    <row r="34" spans="1:30" ht="39.75" customHeight="1" x14ac:dyDescent="0.25">
      <c r="A34" s="195">
        <f t="shared" si="0"/>
        <v>22</v>
      </c>
      <c r="B34" s="110" t="e">
        <f>#REF!</f>
        <v>#REF!</v>
      </c>
      <c r="C34" s="111" t="e">
        <f>#REF!</f>
        <v>#REF!</v>
      </c>
      <c r="D34" s="112" t="e">
        <f>#REF!</f>
        <v>#REF!</v>
      </c>
      <c r="E34" s="113" t="e">
        <f>#REF!</f>
        <v>#REF!</v>
      </c>
      <c r="F34" s="458" t="e">
        <f t="shared" si="1"/>
        <v>#REF!</v>
      </c>
      <c r="G34" s="459">
        <v>44423</v>
      </c>
      <c r="H34" s="460" t="s">
        <v>522</v>
      </c>
      <c r="I34" s="461" t="s">
        <v>12</v>
      </c>
      <c r="J34" s="462" t="s">
        <v>230</v>
      </c>
      <c r="K34" s="463" t="e">
        <f t="shared" si="2"/>
        <v>#REF!</v>
      </c>
      <c r="L34" s="464"/>
      <c r="M34" s="465" t="s">
        <v>522</v>
      </c>
      <c r="N34" s="466" t="s">
        <v>12</v>
      </c>
      <c r="O34" s="462" t="s">
        <v>230</v>
      </c>
      <c r="P34" s="467" t="e">
        <f t="shared" si="3"/>
        <v>#REF!</v>
      </c>
      <c r="Q34" s="464">
        <v>44444</v>
      </c>
      <c r="R34" s="460" t="s">
        <v>522</v>
      </c>
      <c r="S34" s="461" t="s">
        <v>12</v>
      </c>
      <c r="T34" s="462" t="s">
        <v>230</v>
      </c>
      <c r="U34" s="463" t="e">
        <f t="shared" si="4"/>
        <v>#REF!</v>
      </c>
      <c r="V34" s="464"/>
      <c r="W34" s="465" t="s">
        <v>522</v>
      </c>
      <c r="X34" s="466" t="s">
        <v>12</v>
      </c>
      <c r="Y34" s="462" t="s">
        <v>230</v>
      </c>
      <c r="Z34" s="467" t="e">
        <f t="shared" si="5"/>
        <v>#REF!</v>
      </c>
      <c r="AA34" s="464"/>
      <c r="AB34" s="460" t="s">
        <v>522</v>
      </c>
      <c r="AC34" s="466" t="s">
        <v>12</v>
      </c>
      <c r="AD34" s="462" t="s">
        <v>230</v>
      </c>
    </row>
    <row r="35" spans="1:30" ht="39.75" customHeight="1" x14ac:dyDescent="0.25">
      <c r="A35" s="195">
        <f t="shared" si="0"/>
        <v>23</v>
      </c>
      <c r="B35" s="110" t="e">
        <f>#REF!</f>
        <v>#REF!</v>
      </c>
      <c r="C35" s="111" t="e">
        <f>#REF!</f>
        <v>#REF!</v>
      </c>
      <c r="D35" s="112" t="e">
        <f>#REF!</f>
        <v>#REF!</v>
      </c>
      <c r="E35" s="113" t="e">
        <f>#REF!</f>
        <v>#REF!</v>
      </c>
      <c r="F35" s="458" t="e">
        <f t="shared" si="1"/>
        <v>#REF!</v>
      </c>
      <c r="G35" s="459">
        <v>44453</v>
      </c>
      <c r="H35" s="460" t="s">
        <v>523</v>
      </c>
      <c r="I35" s="461" t="s">
        <v>12</v>
      </c>
      <c r="J35" s="462" t="s">
        <v>129</v>
      </c>
      <c r="K35" s="463" t="e">
        <f t="shared" si="2"/>
        <v>#REF!</v>
      </c>
      <c r="L35" s="464"/>
      <c r="M35" s="465" t="s">
        <v>523</v>
      </c>
      <c r="N35" s="466" t="s">
        <v>12</v>
      </c>
      <c r="O35" s="462" t="s">
        <v>129</v>
      </c>
      <c r="P35" s="467" t="e">
        <f t="shared" si="3"/>
        <v>#REF!</v>
      </c>
      <c r="Q35" s="464">
        <v>44515</v>
      </c>
      <c r="R35" s="460" t="s">
        <v>523</v>
      </c>
      <c r="S35" s="461" t="s">
        <v>12</v>
      </c>
      <c r="T35" s="462" t="s">
        <v>129</v>
      </c>
      <c r="U35" s="463" t="e">
        <f t="shared" si="4"/>
        <v>#REF!</v>
      </c>
      <c r="V35" s="464"/>
      <c r="W35" s="465" t="s">
        <v>523</v>
      </c>
      <c r="X35" s="466" t="s">
        <v>12</v>
      </c>
      <c r="Y35" s="462" t="s">
        <v>129</v>
      </c>
      <c r="Z35" s="467" t="e">
        <f t="shared" si="5"/>
        <v>#REF!</v>
      </c>
      <c r="AA35" s="464"/>
      <c r="AB35" s="460" t="s">
        <v>523</v>
      </c>
      <c r="AC35" s="466" t="s">
        <v>12</v>
      </c>
      <c r="AD35" s="462" t="s">
        <v>129</v>
      </c>
    </row>
    <row r="36" spans="1:30" ht="39.75" customHeight="1" x14ac:dyDescent="0.25">
      <c r="A36" s="195">
        <f t="shared" si="0"/>
        <v>24</v>
      </c>
      <c r="B36" s="110" t="e">
        <f>#REF!</f>
        <v>#REF!</v>
      </c>
      <c r="C36" s="111" t="e">
        <f>#REF!</f>
        <v>#REF!</v>
      </c>
      <c r="D36" s="112" t="e">
        <f>#REF!</f>
        <v>#REF!</v>
      </c>
      <c r="E36" s="113" t="e">
        <f>#REF!</f>
        <v>#REF!</v>
      </c>
      <c r="F36" s="458" t="e">
        <f t="shared" si="1"/>
        <v>#REF!</v>
      </c>
      <c r="G36" s="459">
        <v>44484</v>
      </c>
      <c r="H36" s="460" t="s">
        <v>524</v>
      </c>
      <c r="I36" s="461" t="s">
        <v>12</v>
      </c>
      <c r="J36" s="462" t="s">
        <v>230</v>
      </c>
      <c r="K36" s="463" t="e">
        <f t="shared" si="2"/>
        <v>#REF!</v>
      </c>
      <c r="L36" s="464"/>
      <c r="M36" s="465" t="s">
        <v>524</v>
      </c>
      <c r="N36" s="466" t="s">
        <v>12</v>
      </c>
      <c r="O36" s="462" t="s">
        <v>230</v>
      </c>
      <c r="P36" s="467" t="e">
        <f t="shared" si="3"/>
        <v>#REF!</v>
      </c>
      <c r="Q36" s="464">
        <v>44910</v>
      </c>
      <c r="R36" s="460" t="s">
        <v>524</v>
      </c>
      <c r="S36" s="461" t="s">
        <v>12</v>
      </c>
      <c r="T36" s="462" t="s">
        <v>230</v>
      </c>
      <c r="U36" s="463" t="e">
        <f t="shared" si="4"/>
        <v>#REF!</v>
      </c>
      <c r="V36" s="464"/>
      <c r="W36" s="465" t="s">
        <v>524</v>
      </c>
      <c r="X36" s="466" t="s">
        <v>12</v>
      </c>
      <c r="Y36" s="462" t="s">
        <v>230</v>
      </c>
      <c r="Z36" s="467" t="e">
        <f t="shared" si="5"/>
        <v>#REF!</v>
      </c>
      <c r="AA36" s="464"/>
      <c r="AB36" s="460" t="s">
        <v>524</v>
      </c>
      <c r="AC36" s="466" t="s">
        <v>12</v>
      </c>
      <c r="AD36" s="462" t="s">
        <v>230</v>
      </c>
    </row>
    <row r="37" spans="1:30" ht="39.75" customHeight="1" x14ac:dyDescent="0.25">
      <c r="A37" s="195">
        <f t="shared" si="0"/>
        <v>25</v>
      </c>
      <c r="B37" s="110" t="e">
        <f>#REF!</f>
        <v>#REF!</v>
      </c>
      <c r="C37" s="111" t="e">
        <f>#REF!</f>
        <v>#REF!</v>
      </c>
      <c r="D37" s="112" t="e">
        <f>#REF!</f>
        <v>#REF!</v>
      </c>
      <c r="E37" s="113" t="e">
        <f>#REF!</f>
        <v>#REF!</v>
      </c>
      <c r="F37" s="458" t="e">
        <f t="shared" si="1"/>
        <v>#REF!</v>
      </c>
      <c r="G37" s="459">
        <v>44150</v>
      </c>
      <c r="H37" s="460" t="s">
        <v>522</v>
      </c>
      <c r="I37" s="461" t="s">
        <v>12</v>
      </c>
      <c r="J37" s="462" t="s">
        <v>129</v>
      </c>
      <c r="K37" s="463" t="e">
        <f t="shared" si="2"/>
        <v>#REF!</v>
      </c>
      <c r="L37" s="464"/>
      <c r="M37" s="465" t="s">
        <v>522</v>
      </c>
      <c r="N37" s="466" t="s">
        <v>12</v>
      </c>
      <c r="O37" s="462" t="s">
        <v>129</v>
      </c>
      <c r="P37" s="467" t="e">
        <f t="shared" si="3"/>
        <v>#REF!</v>
      </c>
      <c r="Q37" s="464">
        <v>44211</v>
      </c>
      <c r="R37" s="460" t="s">
        <v>522</v>
      </c>
      <c r="S37" s="461" t="s">
        <v>12</v>
      </c>
      <c r="T37" s="462" t="s">
        <v>129</v>
      </c>
      <c r="U37" s="463" t="e">
        <f t="shared" si="4"/>
        <v>#REF!</v>
      </c>
      <c r="V37" s="464"/>
      <c r="W37" s="465" t="s">
        <v>522</v>
      </c>
      <c r="X37" s="466" t="s">
        <v>12</v>
      </c>
      <c r="Y37" s="462" t="s">
        <v>129</v>
      </c>
      <c r="Z37" s="467" t="e">
        <f t="shared" si="5"/>
        <v>#REF!</v>
      </c>
      <c r="AA37" s="464"/>
      <c r="AB37" s="460" t="s">
        <v>522</v>
      </c>
      <c r="AC37" s="466" t="s">
        <v>12</v>
      </c>
      <c r="AD37" s="462" t="s">
        <v>129</v>
      </c>
    </row>
    <row r="38" spans="1:30" ht="39.75" customHeight="1" x14ac:dyDescent="0.25">
      <c r="A38" s="195">
        <f t="shared" si="0"/>
        <v>26</v>
      </c>
      <c r="B38" s="110" t="e">
        <f>#REF!</f>
        <v>#REF!</v>
      </c>
      <c r="C38" s="111" t="e">
        <f>#REF!</f>
        <v>#REF!</v>
      </c>
      <c r="D38" s="112" t="e">
        <f>#REF!</f>
        <v>#REF!</v>
      </c>
      <c r="E38" s="113" t="e">
        <f>#REF!</f>
        <v>#REF!</v>
      </c>
      <c r="F38" s="458" t="e">
        <f t="shared" si="1"/>
        <v>#REF!</v>
      </c>
      <c r="G38" s="459">
        <v>44181</v>
      </c>
      <c r="H38" s="460" t="s">
        <v>523</v>
      </c>
      <c r="I38" s="461" t="s">
        <v>12</v>
      </c>
      <c r="J38" s="462" t="s">
        <v>230</v>
      </c>
      <c r="K38" s="463" t="e">
        <f t="shared" si="2"/>
        <v>#REF!</v>
      </c>
      <c r="L38" s="464"/>
      <c r="M38" s="465" t="s">
        <v>523</v>
      </c>
      <c r="N38" s="466" t="s">
        <v>12</v>
      </c>
      <c r="O38" s="462" t="s">
        <v>230</v>
      </c>
      <c r="P38" s="467" t="e">
        <f t="shared" si="3"/>
        <v>#REF!</v>
      </c>
      <c r="Q38" s="464">
        <v>44247</v>
      </c>
      <c r="R38" s="460" t="s">
        <v>523</v>
      </c>
      <c r="S38" s="461" t="s">
        <v>12</v>
      </c>
      <c r="T38" s="462" t="s">
        <v>230</v>
      </c>
      <c r="U38" s="463" t="e">
        <f t="shared" si="4"/>
        <v>#REF!</v>
      </c>
      <c r="V38" s="464"/>
      <c r="W38" s="465" t="s">
        <v>523</v>
      </c>
      <c r="X38" s="466" t="s">
        <v>12</v>
      </c>
      <c r="Y38" s="462" t="s">
        <v>230</v>
      </c>
      <c r="Z38" s="467" t="e">
        <f t="shared" si="5"/>
        <v>#REF!</v>
      </c>
      <c r="AA38" s="464"/>
      <c r="AB38" s="460" t="s">
        <v>523</v>
      </c>
      <c r="AC38" s="466" t="s">
        <v>12</v>
      </c>
      <c r="AD38" s="462" t="s">
        <v>230</v>
      </c>
    </row>
    <row r="39" spans="1:30" ht="39.75" customHeight="1" x14ac:dyDescent="0.25">
      <c r="A39" s="195">
        <f t="shared" si="0"/>
        <v>27</v>
      </c>
      <c r="B39" s="110" t="e">
        <f>#REF!</f>
        <v>#REF!</v>
      </c>
      <c r="C39" s="111" t="e">
        <f>#REF!</f>
        <v>#REF!</v>
      </c>
      <c r="D39" s="112" t="e">
        <f>#REF!</f>
        <v>#REF!</v>
      </c>
      <c r="E39" s="113" t="e">
        <f>#REF!</f>
        <v>#REF!</v>
      </c>
      <c r="F39" s="458" t="e">
        <f t="shared" si="1"/>
        <v>#REF!</v>
      </c>
      <c r="G39" s="459">
        <v>44211</v>
      </c>
      <c r="H39" s="460" t="s">
        <v>524</v>
      </c>
      <c r="I39" s="461" t="s">
        <v>12</v>
      </c>
      <c r="J39" s="462" t="s">
        <v>129</v>
      </c>
      <c r="K39" s="463" t="e">
        <f t="shared" si="2"/>
        <v>#REF!</v>
      </c>
      <c r="L39" s="464"/>
      <c r="M39" s="465" t="s">
        <v>524</v>
      </c>
      <c r="N39" s="466" t="s">
        <v>12</v>
      </c>
      <c r="O39" s="462" t="s">
        <v>129</v>
      </c>
      <c r="P39" s="467" t="e">
        <f t="shared" si="3"/>
        <v>#REF!</v>
      </c>
      <c r="Q39" s="464">
        <v>44275</v>
      </c>
      <c r="R39" s="460" t="s">
        <v>524</v>
      </c>
      <c r="S39" s="461" t="s">
        <v>12</v>
      </c>
      <c r="T39" s="462" t="s">
        <v>129</v>
      </c>
      <c r="U39" s="463" t="e">
        <f t="shared" si="4"/>
        <v>#REF!</v>
      </c>
      <c r="V39" s="464"/>
      <c r="W39" s="465" t="s">
        <v>524</v>
      </c>
      <c r="X39" s="466" t="s">
        <v>12</v>
      </c>
      <c r="Y39" s="462" t="s">
        <v>129</v>
      </c>
      <c r="Z39" s="467" t="e">
        <f t="shared" si="5"/>
        <v>#REF!</v>
      </c>
      <c r="AA39" s="464"/>
      <c r="AB39" s="460" t="s">
        <v>524</v>
      </c>
      <c r="AC39" s="466" t="s">
        <v>12</v>
      </c>
      <c r="AD39" s="462" t="s">
        <v>129</v>
      </c>
    </row>
    <row r="40" spans="1:30" ht="39.75" customHeight="1" x14ac:dyDescent="0.25">
      <c r="A40" s="195">
        <f t="shared" si="0"/>
        <v>28</v>
      </c>
      <c r="B40" s="110" t="e">
        <f>#REF!</f>
        <v>#REF!</v>
      </c>
      <c r="C40" s="111" t="e">
        <f>#REF!</f>
        <v>#REF!</v>
      </c>
      <c r="D40" s="112" t="e">
        <f>#REF!</f>
        <v>#REF!</v>
      </c>
      <c r="E40" s="113" t="e">
        <f>#REF!</f>
        <v>#REF!</v>
      </c>
      <c r="F40" s="458" t="e">
        <f t="shared" si="1"/>
        <v>#REF!</v>
      </c>
      <c r="G40" s="459">
        <v>44242</v>
      </c>
      <c r="H40" s="460" t="s">
        <v>522</v>
      </c>
      <c r="I40" s="461" t="s">
        <v>12</v>
      </c>
      <c r="J40" s="462" t="s">
        <v>230</v>
      </c>
      <c r="K40" s="463" t="e">
        <f t="shared" si="2"/>
        <v>#REF!</v>
      </c>
      <c r="L40" s="464"/>
      <c r="M40" s="465" t="s">
        <v>522</v>
      </c>
      <c r="N40" s="466" t="s">
        <v>12</v>
      </c>
      <c r="O40" s="462" t="s">
        <v>230</v>
      </c>
      <c r="P40" s="467" t="e">
        <f t="shared" si="3"/>
        <v>#REF!</v>
      </c>
      <c r="Q40" s="464">
        <v>44296</v>
      </c>
      <c r="R40" s="460" t="s">
        <v>522</v>
      </c>
      <c r="S40" s="461" t="s">
        <v>12</v>
      </c>
      <c r="T40" s="462" t="s">
        <v>230</v>
      </c>
      <c r="U40" s="463" t="e">
        <f t="shared" si="4"/>
        <v>#REF!</v>
      </c>
      <c r="V40" s="464"/>
      <c r="W40" s="465" t="s">
        <v>522</v>
      </c>
      <c r="X40" s="466" t="s">
        <v>12</v>
      </c>
      <c r="Y40" s="462" t="s">
        <v>230</v>
      </c>
      <c r="Z40" s="467" t="e">
        <f t="shared" si="5"/>
        <v>#REF!</v>
      </c>
      <c r="AA40" s="464"/>
      <c r="AB40" s="460" t="s">
        <v>522</v>
      </c>
      <c r="AC40" s="466" t="s">
        <v>12</v>
      </c>
      <c r="AD40" s="462" t="s">
        <v>230</v>
      </c>
    </row>
    <row r="41" spans="1:30" ht="39.75" customHeight="1" x14ac:dyDescent="0.25">
      <c r="A41" s="195">
        <f t="shared" si="0"/>
        <v>29</v>
      </c>
      <c r="B41" s="110" t="e">
        <f>#REF!</f>
        <v>#REF!</v>
      </c>
      <c r="C41" s="111" t="e">
        <f>#REF!</f>
        <v>#REF!</v>
      </c>
      <c r="D41" s="112" t="e">
        <f>#REF!</f>
        <v>#REF!</v>
      </c>
      <c r="E41" s="113" t="e">
        <f>#REF!</f>
        <v>#REF!</v>
      </c>
      <c r="F41" s="458" t="e">
        <f t="shared" si="1"/>
        <v>#REF!</v>
      </c>
      <c r="G41" s="459">
        <v>44270</v>
      </c>
      <c r="H41" s="460" t="s">
        <v>523</v>
      </c>
      <c r="I41" s="461" t="s">
        <v>12</v>
      </c>
      <c r="J41" s="462" t="s">
        <v>129</v>
      </c>
      <c r="K41" s="463" t="e">
        <f t="shared" si="2"/>
        <v>#REF!</v>
      </c>
      <c r="L41" s="464"/>
      <c r="M41" s="465" t="s">
        <v>523</v>
      </c>
      <c r="N41" s="466" t="s">
        <v>12</v>
      </c>
      <c r="O41" s="462" t="s">
        <v>129</v>
      </c>
      <c r="P41" s="467" t="e">
        <f t="shared" si="3"/>
        <v>#REF!</v>
      </c>
      <c r="Q41" s="464">
        <v>44326</v>
      </c>
      <c r="R41" s="460" t="s">
        <v>523</v>
      </c>
      <c r="S41" s="461" t="s">
        <v>12</v>
      </c>
      <c r="T41" s="462" t="s">
        <v>129</v>
      </c>
      <c r="U41" s="463" t="e">
        <f t="shared" si="4"/>
        <v>#REF!</v>
      </c>
      <c r="V41" s="464"/>
      <c r="W41" s="465" t="s">
        <v>523</v>
      </c>
      <c r="X41" s="466" t="s">
        <v>12</v>
      </c>
      <c r="Y41" s="462" t="s">
        <v>129</v>
      </c>
      <c r="Z41" s="467" t="e">
        <f t="shared" si="5"/>
        <v>#REF!</v>
      </c>
      <c r="AA41" s="464"/>
      <c r="AB41" s="460" t="s">
        <v>523</v>
      </c>
      <c r="AC41" s="466" t="s">
        <v>12</v>
      </c>
      <c r="AD41" s="462" t="s">
        <v>129</v>
      </c>
    </row>
    <row r="42" spans="1:30" ht="39.75" customHeight="1" x14ac:dyDescent="0.25">
      <c r="A42" s="195">
        <f t="shared" si="0"/>
        <v>30</v>
      </c>
      <c r="B42" s="110" t="e">
        <f>#REF!</f>
        <v>#REF!</v>
      </c>
      <c r="C42" s="111" t="e">
        <f>#REF!</f>
        <v>#REF!</v>
      </c>
      <c r="D42" s="112" t="e">
        <f>#REF!</f>
        <v>#REF!</v>
      </c>
      <c r="E42" s="113" t="e">
        <f>#REF!</f>
        <v>#REF!</v>
      </c>
      <c r="F42" s="458" t="e">
        <f t="shared" si="1"/>
        <v>#REF!</v>
      </c>
      <c r="G42" s="459">
        <v>44301</v>
      </c>
      <c r="H42" s="460" t="s">
        <v>524</v>
      </c>
      <c r="I42" s="461" t="s">
        <v>12</v>
      </c>
      <c r="J42" s="462" t="s">
        <v>230</v>
      </c>
      <c r="K42" s="463" t="e">
        <f t="shared" si="2"/>
        <v>#REF!</v>
      </c>
      <c r="L42" s="464"/>
      <c r="M42" s="465" t="s">
        <v>524</v>
      </c>
      <c r="N42" s="466" t="s">
        <v>12</v>
      </c>
      <c r="O42" s="462" t="s">
        <v>230</v>
      </c>
      <c r="P42" s="467" t="e">
        <f t="shared" si="3"/>
        <v>#REF!</v>
      </c>
      <c r="Q42" s="464">
        <v>44358</v>
      </c>
      <c r="R42" s="460" t="s">
        <v>524</v>
      </c>
      <c r="S42" s="461" t="s">
        <v>12</v>
      </c>
      <c r="T42" s="462" t="s">
        <v>230</v>
      </c>
      <c r="U42" s="463" t="e">
        <f t="shared" si="4"/>
        <v>#REF!</v>
      </c>
      <c r="V42" s="464"/>
      <c r="W42" s="465" t="s">
        <v>524</v>
      </c>
      <c r="X42" s="466" t="s">
        <v>12</v>
      </c>
      <c r="Y42" s="462" t="s">
        <v>230</v>
      </c>
      <c r="Z42" s="467" t="e">
        <f t="shared" si="5"/>
        <v>#REF!</v>
      </c>
      <c r="AA42" s="464"/>
      <c r="AB42" s="460" t="s">
        <v>524</v>
      </c>
      <c r="AC42" s="466" t="s">
        <v>12</v>
      </c>
      <c r="AD42" s="462" t="s">
        <v>230</v>
      </c>
    </row>
    <row r="43" spans="1:30" ht="39.75" customHeight="1" x14ac:dyDescent="0.25">
      <c r="A43" s="195">
        <f t="shared" si="0"/>
        <v>31</v>
      </c>
      <c r="B43" s="110" t="e">
        <f>#REF!</f>
        <v>#REF!</v>
      </c>
      <c r="C43" s="111" t="e">
        <f>#REF!</f>
        <v>#REF!</v>
      </c>
      <c r="D43" s="112" t="e">
        <f>#REF!</f>
        <v>#REF!</v>
      </c>
      <c r="E43" s="113" t="e">
        <f>#REF!</f>
        <v>#REF!</v>
      </c>
      <c r="F43" s="458" t="e">
        <f t="shared" si="1"/>
        <v>#REF!</v>
      </c>
      <c r="G43" s="459">
        <v>44332</v>
      </c>
      <c r="H43" s="460" t="s">
        <v>522</v>
      </c>
      <c r="I43" s="461" t="s">
        <v>12</v>
      </c>
      <c r="J43" s="462" t="s">
        <v>129</v>
      </c>
      <c r="K43" s="463" t="e">
        <f t="shared" si="2"/>
        <v>#REF!</v>
      </c>
      <c r="L43" s="464"/>
      <c r="M43" s="465" t="s">
        <v>522</v>
      </c>
      <c r="N43" s="466" t="s">
        <v>12</v>
      </c>
      <c r="O43" s="462" t="s">
        <v>129</v>
      </c>
      <c r="P43" s="467" t="e">
        <f t="shared" si="3"/>
        <v>#REF!</v>
      </c>
      <c r="Q43" s="464">
        <v>44392</v>
      </c>
      <c r="R43" s="460" t="s">
        <v>522</v>
      </c>
      <c r="S43" s="461" t="s">
        <v>12</v>
      </c>
      <c r="T43" s="462" t="s">
        <v>129</v>
      </c>
      <c r="U43" s="463" t="e">
        <f t="shared" si="4"/>
        <v>#REF!</v>
      </c>
      <c r="V43" s="464"/>
      <c r="W43" s="465" t="s">
        <v>522</v>
      </c>
      <c r="X43" s="466" t="s">
        <v>12</v>
      </c>
      <c r="Y43" s="462" t="s">
        <v>129</v>
      </c>
      <c r="Z43" s="467" t="e">
        <f t="shared" si="5"/>
        <v>#REF!</v>
      </c>
      <c r="AA43" s="464"/>
      <c r="AB43" s="460" t="s">
        <v>522</v>
      </c>
      <c r="AC43" s="466" t="s">
        <v>12</v>
      </c>
      <c r="AD43" s="462" t="s">
        <v>129</v>
      </c>
    </row>
    <row r="44" spans="1:30" ht="39.75" customHeight="1" x14ac:dyDescent="0.25">
      <c r="A44" s="195">
        <f t="shared" si="0"/>
        <v>32</v>
      </c>
      <c r="B44" s="110" t="e">
        <f>#REF!</f>
        <v>#REF!</v>
      </c>
      <c r="C44" s="111" t="e">
        <f>#REF!</f>
        <v>#REF!</v>
      </c>
      <c r="D44" s="112" t="e">
        <f>#REF!</f>
        <v>#REF!</v>
      </c>
      <c r="E44" s="113" t="e">
        <f>#REF!</f>
        <v>#REF!</v>
      </c>
      <c r="F44" s="458" t="e">
        <f t="shared" si="1"/>
        <v>#REF!</v>
      </c>
      <c r="G44" s="459">
        <v>44362</v>
      </c>
      <c r="H44" s="460" t="s">
        <v>523</v>
      </c>
      <c r="I44" s="461" t="s">
        <v>12</v>
      </c>
      <c r="J44" s="462" t="s">
        <v>230</v>
      </c>
      <c r="K44" s="463" t="e">
        <f t="shared" si="2"/>
        <v>#REF!</v>
      </c>
      <c r="L44" s="464"/>
      <c r="M44" s="465" t="s">
        <v>523</v>
      </c>
      <c r="N44" s="466" t="s">
        <v>12</v>
      </c>
      <c r="O44" s="462" t="s">
        <v>230</v>
      </c>
      <c r="P44" s="467" t="e">
        <f t="shared" si="3"/>
        <v>#REF!</v>
      </c>
      <c r="Q44" s="464">
        <v>44423</v>
      </c>
      <c r="R44" s="460" t="s">
        <v>523</v>
      </c>
      <c r="S44" s="461" t="s">
        <v>12</v>
      </c>
      <c r="T44" s="462" t="s">
        <v>230</v>
      </c>
      <c r="U44" s="463" t="e">
        <f t="shared" si="4"/>
        <v>#REF!</v>
      </c>
      <c r="V44" s="464"/>
      <c r="W44" s="465" t="s">
        <v>523</v>
      </c>
      <c r="X44" s="466" t="s">
        <v>12</v>
      </c>
      <c r="Y44" s="462" t="s">
        <v>230</v>
      </c>
      <c r="Z44" s="467" t="e">
        <f t="shared" si="5"/>
        <v>#REF!</v>
      </c>
      <c r="AA44" s="464"/>
      <c r="AB44" s="460" t="s">
        <v>523</v>
      </c>
      <c r="AC44" s="466" t="s">
        <v>12</v>
      </c>
      <c r="AD44" s="462" t="s">
        <v>230</v>
      </c>
    </row>
    <row r="45" spans="1:30" ht="39.75" customHeight="1" x14ac:dyDescent="0.25">
      <c r="A45" s="195">
        <f t="shared" si="0"/>
        <v>33</v>
      </c>
      <c r="B45" s="110" t="e">
        <f>#REF!</f>
        <v>#REF!</v>
      </c>
      <c r="C45" s="111" t="e">
        <f>#REF!</f>
        <v>#REF!</v>
      </c>
      <c r="D45" s="112" t="e">
        <f>#REF!</f>
        <v>#REF!</v>
      </c>
      <c r="E45" s="113" t="e">
        <f>#REF!</f>
        <v>#REF!</v>
      </c>
      <c r="F45" s="458" t="e">
        <f t="shared" si="1"/>
        <v>#REF!</v>
      </c>
      <c r="G45" s="459">
        <v>44393</v>
      </c>
      <c r="H45" s="460" t="s">
        <v>524</v>
      </c>
      <c r="I45" s="461" t="s">
        <v>12</v>
      </c>
      <c r="J45" s="462" t="s">
        <v>129</v>
      </c>
      <c r="K45" s="463" t="e">
        <f t="shared" si="2"/>
        <v>#REF!</v>
      </c>
      <c r="L45" s="464"/>
      <c r="M45" s="465" t="s">
        <v>524</v>
      </c>
      <c r="N45" s="466" t="s">
        <v>12</v>
      </c>
      <c r="O45" s="462" t="s">
        <v>129</v>
      </c>
      <c r="P45" s="467" t="e">
        <f t="shared" si="3"/>
        <v>#REF!</v>
      </c>
      <c r="Q45" s="464">
        <v>44360</v>
      </c>
      <c r="R45" s="460" t="s">
        <v>524</v>
      </c>
      <c r="S45" s="461" t="s">
        <v>12</v>
      </c>
      <c r="T45" s="462" t="s">
        <v>129</v>
      </c>
      <c r="U45" s="463" t="e">
        <f t="shared" si="4"/>
        <v>#REF!</v>
      </c>
      <c r="V45" s="464"/>
      <c r="W45" s="465" t="s">
        <v>524</v>
      </c>
      <c r="X45" s="466" t="s">
        <v>12</v>
      </c>
      <c r="Y45" s="462" t="s">
        <v>129</v>
      </c>
      <c r="Z45" s="467" t="e">
        <f t="shared" si="5"/>
        <v>#REF!</v>
      </c>
      <c r="AA45" s="464"/>
      <c r="AB45" s="460" t="s">
        <v>524</v>
      </c>
      <c r="AC45" s="466" t="s">
        <v>12</v>
      </c>
      <c r="AD45" s="462" t="s">
        <v>129</v>
      </c>
    </row>
    <row r="46" spans="1:30" ht="39.75" customHeight="1" x14ac:dyDescent="0.25">
      <c r="A46" s="195">
        <f t="shared" si="0"/>
        <v>34</v>
      </c>
      <c r="B46" s="110" t="e">
        <f>#REF!</f>
        <v>#REF!</v>
      </c>
      <c r="C46" s="111" t="e">
        <f>#REF!</f>
        <v>#REF!</v>
      </c>
      <c r="D46" s="112" t="e">
        <f>#REF!</f>
        <v>#REF!</v>
      </c>
      <c r="E46" s="113" t="e">
        <f>#REF!</f>
        <v>#REF!</v>
      </c>
      <c r="F46" s="458" t="e">
        <f t="shared" si="1"/>
        <v>#REF!</v>
      </c>
      <c r="G46" s="459">
        <v>44423</v>
      </c>
      <c r="H46" s="460" t="s">
        <v>522</v>
      </c>
      <c r="I46" s="461" t="s">
        <v>12</v>
      </c>
      <c r="J46" s="462" t="s">
        <v>230</v>
      </c>
      <c r="K46" s="463" t="e">
        <f t="shared" si="2"/>
        <v>#REF!</v>
      </c>
      <c r="L46" s="464"/>
      <c r="M46" s="465" t="s">
        <v>522</v>
      </c>
      <c r="N46" s="466" t="s">
        <v>12</v>
      </c>
      <c r="O46" s="462" t="s">
        <v>230</v>
      </c>
      <c r="P46" s="467" t="e">
        <f t="shared" si="3"/>
        <v>#REF!</v>
      </c>
      <c r="Q46" s="464">
        <v>44444</v>
      </c>
      <c r="R46" s="460" t="s">
        <v>522</v>
      </c>
      <c r="S46" s="461" t="s">
        <v>12</v>
      </c>
      <c r="T46" s="462" t="s">
        <v>230</v>
      </c>
      <c r="U46" s="463" t="e">
        <f t="shared" si="4"/>
        <v>#REF!</v>
      </c>
      <c r="V46" s="464"/>
      <c r="W46" s="465" t="s">
        <v>522</v>
      </c>
      <c r="X46" s="466" t="s">
        <v>12</v>
      </c>
      <c r="Y46" s="462" t="s">
        <v>230</v>
      </c>
      <c r="Z46" s="467" t="e">
        <f t="shared" si="5"/>
        <v>#REF!</v>
      </c>
      <c r="AA46" s="464"/>
      <c r="AB46" s="460" t="s">
        <v>522</v>
      </c>
      <c r="AC46" s="466" t="s">
        <v>12</v>
      </c>
      <c r="AD46" s="462" t="s">
        <v>230</v>
      </c>
    </row>
    <row r="47" spans="1:30" ht="39.75" customHeight="1" x14ac:dyDescent="0.25">
      <c r="A47" s="195">
        <f t="shared" si="0"/>
        <v>35</v>
      </c>
      <c r="B47" s="110" t="e">
        <f>#REF!</f>
        <v>#REF!</v>
      </c>
      <c r="C47" s="111" t="e">
        <f>#REF!</f>
        <v>#REF!</v>
      </c>
      <c r="D47" s="112" t="e">
        <f>#REF!</f>
        <v>#REF!</v>
      </c>
      <c r="E47" s="113" t="e">
        <f>#REF!</f>
        <v>#REF!</v>
      </c>
      <c r="F47" s="458" t="e">
        <f t="shared" si="1"/>
        <v>#REF!</v>
      </c>
      <c r="G47" s="459">
        <v>44453</v>
      </c>
      <c r="H47" s="460" t="s">
        <v>523</v>
      </c>
      <c r="I47" s="461" t="s">
        <v>12</v>
      </c>
      <c r="J47" s="462" t="s">
        <v>129</v>
      </c>
      <c r="K47" s="463" t="e">
        <f t="shared" si="2"/>
        <v>#REF!</v>
      </c>
      <c r="L47" s="464"/>
      <c r="M47" s="465" t="s">
        <v>523</v>
      </c>
      <c r="N47" s="466" t="s">
        <v>12</v>
      </c>
      <c r="O47" s="462" t="s">
        <v>129</v>
      </c>
      <c r="P47" s="467" t="e">
        <f t="shared" si="3"/>
        <v>#REF!</v>
      </c>
      <c r="Q47" s="464">
        <v>44515</v>
      </c>
      <c r="R47" s="460" t="s">
        <v>523</v>
      </c>
      <c r="S47" s="461" t="s">
        <v>12</v>
      </c>
      <c r="T47" s="462" t="s">
        <v>129</v>
      </c>
      <c r="U47" s="463" t="e">
        <f t="shared" si="4"/>
        <v>#REF!</v>
      </c>
      <c r="V47" s="464"/>
      <c r="W47" s="465" t="s">
        <v>523</v>
      </c>
      <c r="X47" s="466" t="s">
        <v>12</v>
      </c>
      <c r="Y47" s="462" t="s">
        <v>129</v>
      </c>
      <c r="Z47" s="467" t="e">
        <f t="shared" si="5"/>
        <v>#REF!</v>
      </c>
      <c r="AA47" s="464"/>
      <c r="AB47" s="460" t="s">
        <v>523</v>
      </c>
      <c r="AC47" s="466" t="s">
        <v>12</v>
      </c>
      <c r="AD47" s="462" t="s">
        <v>129</v>
      </c>
    </row>
    <row r="48" spans="1:30" ht="39.75" customHeight="1" x14ac:dyDescent="0.25">
      <c r="A48" s="195">
        <f t="shared" si="0"/>
        <v>36</v>
      </c>
      <c r="B48" s="110" t="e">
        <f>#REF!</f>
        <v>#REF!</v>
      </c>
      <c r="C48" s="111" t="e">
        <f>#REF!</f>
        <v>#REF!</v>
      </c>
      <c r="D48" s="112" t="e">
        <f>#REF!</f>
        <v>#REF!</v>
      </c>
      <c r="E48" s="113" t="e">
        <f>#REF!</f>
        <v>#REF!</v>
      </c>
      <c r="F48" s="458" t="e">
        <f t="shared" si="1"/>
        <v>#REF!</v>
      </c>
      <c r="G48" s="459">
        <v>44484</v>
      </c>
      <c r="H48" s="460" t="s">
        <v>524</v>
      </c>
      <c r="I48" s="461" t="s">
        <v>12</v>
      </c>
      <c r="J48" s="462" t="s">
        <v>230</v>
      </c>
      <c r="K48" s="463" t="e">
        <f t="shared" si="2"/>
        <v>#REF!</v>
      </c>
      <c r="L48" s="464"/>
      <c r="M48" s="465" t="s">
        <v>524</v>
      </c>
      <c r="N48" s="466" t="s">
        <v>12</v>
      </c>
      <c r="O48" s="462" t="s">
        <v>230</v>
      </c>
      <c r="P48" s="467" t="e">
        <f t="shared" si="3"/>
        <v>#REF!</v>
      </c>
      <c r="Q48" s="464">
        <v>44545</v>
      </c>
      <c r="R48" s="460" t="s">
        <v>524</v>
      </c>
      <c r="S48" s="461" t="s">
        <v>12</v>
      </c>
      <c r="T48" s="462" t="s">
        <v>230</v>
      </c>
      <c r="U48" s="463" t="e">
        <f t="shared" si="4"/>
        <v>#REF!</v>
      </c>
      <c r="V48" s="464"/>
      <c r="W48" s="465" t="s">
        <v>524</v>
      </c>
      <c r="X48" s="466" t="s">
        <v>12</v>
      </c>
      <c r="Y48" s="462" t="s">
        <v>230</v>
      </c>
      <c r="Z48" s="467" t="e">
        <f t="shared" si="5"/>
        <v>#REF!</v>
      </c>
      <c r="AA48" s="464"/>
      <c r="AB48" s="460" t="s">
        <v>524</v>
      </c>
      <c r="AC48" s="466" t="s">
        <v>12</v>
      </c>
      <c r="AD48" s="462" t="s">
        <v>230</v>
      </c>
    </row>
    <row r="49" spans="1:30" ht="39.75" customHeight="1" x14ac:dyDescent="0.25">
      <c r="A49" s="195">
        <f t="shared" si="0"/>
        <v>37</v>
      </c>
      <c r="B49" s="110" t="e">
        <f>#REF!</f>
        <v>#REF!</v>
      </c>
      <c r="C49" s="111" t="e">
        <f>#REF!</f>
        <v>#REF!</v>
      </c>
      <c r="D49" s="112" t="e">
        <f>#REF!</f>
        <v>#REF!</v>
      </c>
      <c r="E49" s="113" t="e">
        <f>#REF!</f>
        <v>#REF!</v>
      </c>
      <c r="F49" s="458" t="e">
        <f t="shared" si="1"/>
        <v>#REF!</v>
      </c>
      <c r="G49" s="459">
        <v>44150</v>
      </c>
      <c r="H49" s="460" t="s">
        <v>522</v>
      </c>
      <c r="I49" s="461" t="s">
        <v>12</v>
      </c>
      <c r="J49" s="462" t="s">
        <v>129</v>
      </c>
      <c r="K49" s="463" t="e">
        <f t="shared" si="2"/>
        <v>#REF!</v>
      </c>
      <c r="L49" s="464"/>
      <c r="M49" s="465" t="s">
        <v>522</v>
      </c>
      <c r="N49" s="466" t="s">
        <v>12</v>
      </c>
      <c r="O49" s="462" t="s">
        <v>129</v>
      </c>
      <c r="P49" s="467" t="e">
        <f t="shared" si="3"/>
        <v>#REF!</v>
      </c>
      <c r="Q49" s="464">
        <v>44211</v>
      </c>
      <c r="R49" s="460" t="s">
        <v>522</v>
      </c>
      <c r="S49" s="461" t="s">
        <v>12</v>
      </c>
      <c r="T49" s="462" t="s">
        <v>129</v>
      </c>
      <c r="U49" s="463" t="e">
        <f t="shared" si="4"/>
        <v>#REF!</v>
      </c>
      <c r="V49" s="464"/>
      <c r="W49" s="465" t="s">
        <v>522</v>
      </c>
      <c r="X49" s="466" t="s">
        <v>12</v>
      </c>
      <c r="Y49" s="462" t="s">
        <v>129</v>
      </c>
      <c r="Z49" s="467" t="e">
        <f t="shared" si="5"/>
        <v>#REF!</v>
      </c>
      <c r="AA49" s="464"/>
      <c r="AB49" s="460" t="s">
        <v>522</v>
      </c>
      <c r="AC49" s="466" t="s">
        <v>12</v>
      </c>
      <c r="AD49" s="462" t="s">
        <v>129</v>
      </c>
    </row>
    <row r="50" spans="1:30" ht="39.75" customHeight="1" x14ac:dyDescent="0.25">
      <c r="A50" s="195">
        <f t="shared" si="0"/>
        <v>38</v>
      </c>
      <c r="B50" s="110" t="e">
        <f>#REF!</f>
        <v>#REF!</v>
      </c>
      <c r="C50" s="111" t="e">
        <f>#REF!</f>
        <v>#REF!</v>
      </c>
      <c r="D50" s="112" t="e">
        <f>#REF!</f>
        <v>#REF!</v>
      </c>
      <c r="E50" s="113" t="e">
        <f>#REF!</f>
        <v>#REF!</v>
      </c>
      <c r="F50" s="458" t="e">
        <f t="shared" si="1"/>
        <v>#REF!</v>
      </c>
      <c r="G50" s="459">
        <v>44181</v>
      </c>
      <c r="H50" s="460" t="s">
        <v>523</v>
      </c>
      <c r="I50" s="461" t="s">
        <v>12</v>
      </c>
      <c r="J50" s="462" t="s">
        <v>230</v>
      </c>
      <c r="K50" s="463" t="e">
        <f t="shared" si="2"/>
        <v>#REF!</v>
      </c>
      <c r="L50" s="464"/>
      <c r="M50" s="465" t="s">
        <v>523</v>
      </c>
      <c r="N50" s="466" t="s">
        <v>12</v>
      </c>
      <c r="O50" s="462" t="s">
        <v>230</v>
      </c>
      <c r="P50" s="467" t="e">
        <f t="shared" si="3"/>
        <v>#REF!</v>
      </c>
      <c r="Q50" s="464">
        <v>44247</v>
      </c>
      <c r="R50" s="460" t="s">
        <v>523</v>
      </c>
      <c r="S50" s="461" t="s">
        <v>12</v>
      </c>
      <c r="T50" s="462" t="s">
        <v>230</v>
      </c>
      <c r="U50" s="463" t="e">
        <f t="shared" si="4"/>
        <v>#REF!</v>
      </c>
      <c r="V50" s="464"/>
      <c r="W50" s="465" t="s">
        <v>523</v>
      </c>
      <c r="X50" s="466" t="s">
        <v>12</v>
      </c>
      <c r="Y50" s="462" t="s">
        <v>230</v>
      </c>
      <c r="Z50" s="467" t="e">
        <f t="shared" si="5"/>
        <v>#REF!</v>
      </c>
      <c r="AA50" s="464"/>
      <c r="AB50" s="460" t="s">
        <v>523</v>
      </c>
      <c r="AC50" s="466" t="s">
        <v>12</v>
      </c>
      <c r="AD50" s="462" t="s">
        <v>230</v>
      </c>
    </row>
    <row r="51" spans="1:30" ht="39.75" customHeight="1" x14ac:dyDescent="0.25">
      <c r="A51" s="195">
        <f t="shared" si="0"/>
        <v>39</v>
      </c>
      <c r="B51" s="110" t="e">
        <f>#REF!</f>
        <v>#REF!</v>
      </c>
      <c r="C51" s="111" t="e">
        <f>#REF!</f>
        <v>#REF!</v>
      </c>
      <c r="D51" s="112" t="e">
        <f>#REF!</f>
        <v>#REF!</v>
      </c>
      <c r="E51" s="113" t="e">
        <f>#REF!</f>
        <v>#REF!</v>
      </c>
      <c r="F51" s="458" t="e">
        <f t="shared" si="1"/>
        <v>#REF!</v>
      </c>
      <c r="G51" s="459">
        <v>44211</v>
      </c>
      <c r="H51" s="460" t="s">
        <v>524</v>
      </c>
      <c r="I51" s="461" t="s">
        <v>12</v>
      </c>
      <c r="J51" s="462" t="s">
        <v>129</v>
      </c>
      <c r="K51" s="463" t="e">
        <f t="shared" si="2"/>
        <v>#REF!</v>
      </c>
      <c r="L51" s="464"/>
      <c r="M51" s="465" t="s">
        <v>524</v>
      </c>
      <c r="N51" s="466" t="s">
        <v>12</v>
      </c>
      <c r="O51" s="462" t="s">
        <v>129</v>
      </c>
      <c r="P51" s="467" t="e">
        <f t="shared" si="3"/>
        <v>#REF!</v>
      </c>
      <c r="Q51" s="464">
        <v>44275</v>
      </c>
      <c r="R51" s="460" t="s">
        <v>524</v>
      </c>
      <c r="S51" s="461" t="s">
        <v>12</v>
      </c>
      <c r="T51" s="462" t="s">
        <v>129</v>
      </c>
      <c r="U51" s="463" t="e">
        <f t="shared" si="4"/>
        <v>#REF!</v>
      </c>
      <c r="V51" s="464"/>
      <c r="W51" s="465" t="s">
        <v>524</v>
      </c>
      <c r="X51" s="466" t="s">
        <v>12</v>
      </c>
      <c r="Y51" s="462" t="s">
        <v>129</v>
      </c>
      <c r="Z51" s="467" t="e">
        <f t="shared" si="5"/>
        <v>#REF!</v>
      </c>
      <c r="AA51" s="464"/>
      <c r="AB51" s="460" t="s">
        <v>524</v>
      </c>
      <c r="AC51" s="466" t="s">
        <v>12</v>
      </c>
      <c r="AD51" s="462" t="s">
        <v>129</v>
      </c>
    </row>
    <row r="52" spans="1:30" ht="39.75" customHeight="1" x14ac:dyDescent="0.25">
      <c r="A52" s="195">
        <f t="shared" si="0"/>
        <v>40</v>
      </c>
      <c r="B52" s="110" t="e">
        <f>#REF!</f>
        <v>#REF!</v>
      </c>
      <c r="C52" s="111" t="e">
        <f>#REF!</f>
        <v>#REF!</v>
      </c>
      <c r="D52" s="112" t="e">
        <f>#REF!</f>
        <v>#REF!</v>
      </c>
      <c r="E52" s="113" t="e">
        <f>#REF!</f>
        <v>#REF!</v>
      </c>
      <c r="F52" s="458" t="e">
        <f t="shared" si="1"/>
        <v>#REF!</v>
      </c>
      <c r="G52" s="459">
        <v>44242</v>
      </c>
      <c r="H52" s="460" t="s">
        <v>522</v>
      </c>
      <c r="I52" s="461" t="s">
        <v>12</v>
      </c>
      <c r="J52" s="462" t="s">
        <v>230</v>
      </c>
      <c r="K52" s="463" t="e">
        <f t="shared" si="2"/>
        <v>#REF!</v>
      </c>
      <c r="L52" s="464"/>
      <c r="M52" s="465" t="s">
        <v>522</v>
      </c>
      <c r="N52" s="466" t="s">
        <v>12</v>
      </c>
      <c r="O52" s="462" t="s">
        <v>230</v>
      </c>
      <c r="P52" s="467" t="e">
        <f t="shared" si="3"/>
        <v>#REF!</v>
      </c>
      <c r="Q52" s="464">
        <v>44296</v>
      </c>
      <c r="R52" s="460" t="s">
        <v>522</v>
      </c>
      <c r="S52" s="461" t="s">
        <v>12</v>
      </c>
      <c r="T52" s="462" t="s">
        <v>230</v>
      </c>
      <c r="U52" s="463" t="e">
        <f t="shared" si="4"/>
        <v>#REF!</v>
      </c>
      <c r="V52" s="464"/>
      <c r="W52" s="465" t="s">
        <v>522</v>
      </c>
      <c r="X52" s="466" t="s">
        <v>12</v>
      </c>
      <c r="Y52" s="462" t="s">
        <v>230</v>
      </c>
      <c r="Z52" s="467" t="e">
        <f t="shared" si="5"/>
        <v>#REF!</v>
      </c>
      <c r="AA52" s="464"/>
      <c r="AB52" s="460" t="s">
        <v>522</v>
      </c>
      <c r="AC52" s="466" t="s">
        <v>12</v>
      </c>
      <c r="AD52" s="462" t="s">
        <v>230</v>
      </c>
    </row>
    <row r="53" spans="1:30" ht="39.75" customHeight="1" x14ac:dyDescent="0.25">
      <c r="A53" s="195">
        <f t="shared" si="0"/>
        <v>41</v>
      </c>
      <c r="B53" s="110" t="e">
        <f>#REF!</f>
        <v>#REF!</v>
      </c>
      <c r="C53" s="111" t="e">
        <f>#REF!</f>
        <v>#REF!</v>
      </c>
      <c r="D53" s="112" t="e">
        <f>#REF!</f>
        <v>#REF!</v>
      </c>
      <c r="E53" s="113" t="e">
        <f>#REF!</f>
        <v>#REF!</v>
      </c>
      <c r="F53" s="458" t="e">
        <f t="shared" si="1"/>
        <v>#REF!</v>
      </c>
      <c r="G53" s="459">
        <v>44270</v>
      </c>
      <c r="H53" s="460" t="s">
        <v>523</v>
      </c>
      <c r="I53" s="461" t="s">
        <v>12</v>
      </c>
      <c r="J53" s="462" t="s">
        <v>129</v>
      </c>
      <c r="K53" s="463" t="e">
        <f t="shared" si="2"/>
        <v>#REF!</v>
      </c>
      <c r="L53" s="464"/>
      <c r="M53" s="465" t="s">
        <v>523</v>
      </c>
      <c r="N53" s="466" t="s">
        <v>12</v>
      </c>
      <c r="O53" s="462" t="s">
        <v>129</v>
      </c>
      <c r="P53" s="467" t="e">
        <f t="shared" si="3"/>
        <v>#REF!</v>
      </c>
      <c r="Q53" s="464">
        <v>44326</v>
      </c>
      <c r="R53" s="460" t="s">
        <v>523</v>
      </c>
      <c r="S53" s="461" t="s">
        <v>12</v>
      </c>
      <c r="T53" s="462" t="s">
        <v>129</v>
      </c>
      <c r="U53" s="463" t="e">
        <f t="shared" si="4"/>
        <v>#REF!</v>
      </c>
      <c r="V53" s="464"/>
      <c r="W53" s="465" t="s">
        <v>523</v>
      </c>
      <c r="X53" s="466" t="s">
        <v>12</v>
      </c>
      <c r="Y53" s="462" t="s">
        <v>129</v>
      </c>
      <c r="Z53" s="467" t="e">
        <f t="shared" si="5"/>
        <v>#REF!</v>
      </c>
      <c r="AA53" s="464"/>
      <c r="AB53" s="460" t="s">
        <v>523</v>
      </c>
      <c r="AC53" s="466" t="s">
        <v>12</v>
      </c>
      <c r="AD53" s="462" t="s">
        <v>129</v>
      </c>
    </row>
    <row r="54" spans="1:30" ht="39.75" customHeight="1" x14ac:dyDescent="0.25">
      <c r="A54" s="195">
        <f t="shared" si="0"/>
        <v>42</v>
      </c>
      <c r="B54" s="110" t="e">
        <f>#REF!</f>
        <v>#REF!</v>
      </c>
      <c r="C54" s="111" t="e">
        <f>#REF!</f>
        <v>#REF!</v>
      </c>
      <c r="D54" s="112" t="e">
        <f>#REF!</f>
        <v>#REF!</v>
      </c>
      <c r="E54" s="113" t="e">
        <f>#REF!</f>
        <v>#REF!</v>
      </c>
      <c r="F54" s="458" t="e">
        <f t="shared" si="1"/>
        <v>#REF!</v>
      </c>
      <c r="G54" s="459">
        <v>44301</v>
      </c>
      <c r="H54" s="460" t="s">
        <v>524</v>
      </c>
      <c r="I54" s="461" t="s">
        <v>12</v>
      </c>
      <c r="J54" s="462" t="s">
        <v>230</v>
      </c>
      <c r="K54" s="463" t="e">
        <f t="shared" si="2"/>
        <v>#REF!</v>
      </c>
      <c r="L54" s="464"/>
      <c r="M54" s="465" t="s">
        <v>524</v>
      </c>
      <c r="N54" s="466" t="s">
        <v>12</v>
      </c>
      <c r="O54" s="462" t="s">
        <v>230</v>
      </c>
      <c r="P54" s="467" t="e">
        <f t="shared" si="3"/>
        <v>#REF!</v>
      </c>
      <c r="Q54" s="464">
        <v>44358</v>
      </c>
      <c r="R54" s="460" t="s">
        <v>524</v>
      </c>
      <c r="S54" s="461" t="s">
        <v>12</v>
      </c>
      <c r="T54" s="462" t="s">
        <v>230</v>
      </c>
      <c r="U54" s="463" t="e">
        <f t="shared" si="4"/>
        <v>#REF!</v>
      </c>
      <c r="V54" s="464"/>
      <c r="W54" s="465" t="s">
        <v>524</v>
      </c>
      <c r="X54" s="466" t="s">
        <v>12</v>
      </c>
      <c r="Y54" s="462" t="s">
        <v>230</v>
      </c>
      <c r="Z54" s="467" t="e">
        <f t="shared" si="5"/>
        <v>#REF!</v>
      </c>
      <c r="AA54" s="464"/>
      <c r="AB54" s="460" t="s">
        <v>524</v>
      </c>
      <c r="AC54" s="466" t="s">
        <v>12</v>
      </c>
      <c r="AD54" s="462" t="s">
        <v>230</v>
      </c>
    </row>
    <row r="55" spans="1:30" ht="39.75" customHeight="1" x14ac:dyDescent="0.25">
      <c r="A55" s="195">
        <f t="shared" si="0"/>
        <v>43</v>
      </c>
      <c r="B55" s="110" t="e">
        <f>#REF!</f>
        <v>#REF!</v>
      </c>
      <c r="C55" s="111" t="e">
        <f>#REF!</f>
        <v>#REF!</v>
      </c>
      <c r="D55" s="112" t="e">
        <f>#REF!</f>
        <v>#REF!</v>
      </c>
      <c r="E55" s="113" t="e">
        <f>#REF!</f>
        <v>#REF!</v>
      </c>
      <c r="F55" s="458" t="e">
        <f t="shared" si="1"/>
        <v>#REF!</v>
      </c>
      <c r="G55" s="459">
        <v>44332</v>
      </c>
      <c r="H55" s="460" t="s">
        <v>522</v>
      </c>
      <c r="I55" s="461" t="s">
        <v>12</v>
      </c>
      <c r="J55" s="462" t="s">
        <v>129</v>
      </c>
      <c r="K55" s="463" t="e">
        <f t="shared" si="2"/>
        <v>#REF!</v>
      </c>
      <c r="L55" s="464"/>
      <c r="M55" s="465" t="s">
        <v>522</v>
      </c>
      <c r="N55" s="466" t="s">
        <v>12</v>
      </c>
      <c r="O55" s="462" t="s">
        <v>129</v>
      </c>
      <c r="P55" s="467" t="e">
        <f t="shared" si="3"/>
        <v>#REF!</v>
      </c>
      <c r="Q55" s="464">
        <v>44392</v>
      </c>
      <c r="R55" s="460" t="s">
        <v>522</v>
      </c>
      <c r="S55" s="461" t="s">
        <v>12</v>
      </c>
      <c r="T55" s="462" t="s">
        <v>129</v>
      </c>
      <c r="U55" s="463" t="e">
        <f t="shared" si="4"/>
        <v>#REF!</v>
      </c>
      <c r="V55" s="464"/>
      <c r="W55" s="465" t="s">
        <v>522</v>
      </c>
      <c r="X55" s="466" t="s">
        <v>12</v>
      </c>
      <c r="Y55" s="462" t="s">
        <v>129</v>
      </c>
      <c r="Z55" s="467" t="e">
        <f t="shared" si="5"/>
        <v>#REF!</v>
      </c>
      <c r="AA55" s="464"/>
      <c r="AB55" s="460" t="s">
        <v>522</v>
      </c>
      <c r="AC55" s="466" t="s">
        <v>12</v>
      </c>
      <c r="AD55" s="462" t="s">
        <v>129</v>
      </c>
    </row>
    <row r="56" spans="1:30" ht="39.75" customHeight="1" x14ac:dyDescent="0.25">
      <c r="A56" s="195">
        <f t="shared" si="0"/>
        <v>44</v>
      </c>
      <c r="B56" s="110" t="e">
        <f>#REF!</f>
        <v>#REF!</v>
      </c>
      <c r="C56" s="111" t="e">
        <f>#REF!</f>
        <v>#REF!</v>
      </c>
      <c r="D56" s="112" t="e">
        <f>#REF!</f>
        <v>#REF!</v>
      </c>
      <c r="E56" s="113" t="e">
        <f>#REF!</f>
        <v>#REF!</v>
      </c>
      <c r="F56" s="458" t="e">
        <f t="shared" si="1"/>
        <v>#REF!</v>
      </c>
      <c r="G56" s="459">
        <v>44362</v>
      </c>
      <c r="H56" s="460" t="s">
        <v>523</v>
      </c>
      <c r="I56" s="461" t="s">
        <v>12</v>
      </c>
      <c r="J56" s="462" t="s">
        <v>230</v>
      </c>
      <c r="K56" s="463" t="e">
        <f t="shared" si="2"/>
        <v>#REF!</v>
      </c>
      <c r="L56" s="464"/>
      <c r="M56" s="465" t="s">
        <v>523</v>
      </c>
      <c r="N56" s="466" t="s">
        <v>12</v>
      </c>
      <c r="O56" s="462" t="s">
        <v>230</v>
      </c>
      <c r="P56" s="467" t="e">
        <f t="shared" si="3"/>
        <v>#REF!</v>
      </c>
      <c r="Q56" s="464">
        <v>44423</v>
      </c>
      <c r="R56" s="460" t="s">
        <v>523</v>
      </c>
      <c r="S56" s="461" t="s">
        <v>12</v>
      </c>
      <c r="T56" s="462" t="s">
        <v>230</v>
      </c>
      <c r="U56" s="463" t="e">
        <f t="shared" si="4"/>
        <v>#REF!</v>
      </c>
      <c r="V56" s="464"/>
      <c r="W56" s="465" t="s">
        <v>523</v>
      </c>
      <c r="X56" s="466" t="s">
        <v>12</v>
      </c>
      <c r="Y56" s="462" t="s">
        <v>230</v>
      </c>
      <c r="Z56" s="467" t="e">
        <f t="shared" si="5"/>
        <v>#REF!</v>
      </c>
      <c r="AA56" s="464"/>
      <c r="AB56" s="460" t="s">
        <v>523</v>
      </c>
      <c r="AC56" s="466" t="s">
        <v>12</v>
      </c>
      <c r="AD56" s="462" t="s">
        <v>230</v>
      </c>
    </row>
    <row r="57" spans="1:30" ht="39.75" customHeight="1" x14ac:dyDescent="0.25">
      <c r="A57" s="195">
        <f t="shared" si="0"/>
        <v>45</v>
      </c>
      <c r="B57" s="110" t="e">
        <f>#REF!</f>
        <v>#REF!</v>
      </c>
      <c r="C57" s="111" t="e">
        <f>#REF!</f>
        <v>#REF!</v>
      </c>
      <c r="D57" s="112" t="e">
        <f>#REF!</f>
        <v>#REF!</v>
      </c>
      <c r="E57" s="113" t="e">
        <f>#REF!</f>
        <v>#REF!</v>
      </c>
      <c r="F57" s="458" t="e">
        <f t="shared" si="1"/>
        <v>#REF!</v>
      </c>
      <c r="G57" s="459">
        <v>44393</v>
      </c>
      <c r="H57" s="460" t="s">
        <v>524</v>
      </c>
      <c r="I57" s="461" t="s">
        <v>12</v>
      </c>
      <c r="J57" s="462" t="s">
        <v>129</v>
      </c>
      <c r="K57" s="463" t="e">
        <f t="shared" si="2"/>
        <v>#REF!</v>
      </c>
      <c r="L57" s="464"/>
      <c r="M57" s="465" t="s">
        <v>524</v>
      </c>
      <c r="N57" s="466" t="s">
        <v>12</v>
      </c>
      <c r="O57" s="462" t="s">
        <v>129</v>
      </c>
      <c r="P57" s="467" t="e">
        <f t="shared" si="3"/>
        <v>#REF!</v>
      </c>
      <c r="Q57" s="464">
        <v>44360</v>
      </c>
      <c r="R57" s="460" t="s">
        <v>524</v>
      </c>
      <c r="S57" s="461" t="s">
        <v>12</v>
      </c>
      <c r="T57" s="462" t="s">
        <v>129</v>
      </c>
      <c r="U57" s="463" t="e">
        <f t="shared" si="4"/>
        <v>#REF!</v>
      </c>
      <c r="V57" s="464"/>
      <c r="W57" s="465" t="s">
        <v>524</v>
      </c>
      <c r="X57" s="466" t="s">
        <v>12</v>
      </c>
      <c r="Y57" s="462" t="s">
        <v>129</v>
      </c>
      <c r="Z57" s="467" t="e">
        <f t="shared" si="5"/>
        <v>#REF!</v>
      </c>
      <c r="AA57" s="464"/>
      <c r="AB57" s="460" t="s">
        <v>524</v>
      </c>
      <c r="AC57" s="466" t="s">
        <v>12</v>
      </c>
      <c r="AD57" s="462" t="s">
        <v>129</v>
      </c>
    </row>
    <row r="58" spans="1:30" ht="39.75" customHeight="1" x14ac:dyDescent="0.25">
      <c r="A58" s="195">
        <f t="shared" si="0"/>
        <v>46</v>
      </c>
      <c r="B58" s="110" t="e">
        <f>#REF!</f>
        <v>#REF!</v>
      </c>
      <c r="C58" s="111" t="e">
        <f>#REF!</f>
        <v>#REF!</v>
      </c>
      <c r="D58" s="112" t="e">
        <f>#REF!</f>
        <v>#REF!</v>
      </c>
      <c r="E58" s="113" t="e">
        <f>#REF!</f>
        <v>#REF!</v>
      </c>
      <c r="F58" s="458" t="e">
        <f t="shared" si="1"/>
        <v>#REF!</v>
      </c>
      <c r="G58" s="459">
        <v>44423</v>
      </c>
      <c r="H58" s="460" t="s">
        <v>522</v>
      </c>
      <c r="I58" s="461" t="s">
        <v>12</v>
      </c>
      <c r="J58" s="462" t="s">
        <v>230</v>
      </c>
      <c r="K58" s="463" t="e">
        <f t="shared" si="2"/>
        <v>#REF!</v>
      </c>
      <c r="L58" s="464"/>
      <c r="M58" s="465" t="s">
        <v>522</v>
      </c>
      <c r="N58" s="466" t="s">
        <v>12</v>
      </c>
      <c r="O58" s="462" t="s">
        <v>230</v>
      </c>
      <c r="P58" s="467" t="e">
        <f t="shared" si="3"/>
        <v>#REF!</v>
      </c>
      <c r="Q58" s="464">
        <v>44444</v>
      </c>
      <c r="R58" s="460" t="s">
        <v>522</v>
      </c>
      <c r="S58" s="461" t="s">
        <v>12</v>
      </c>
      <c r="T58" s="462" t="s">
        <v>230</v>
      </c>
      <c r="U58" s="463" t="e">
        <f t="shared" si="4"/>
        <v>#REF!</v>
      </c>
      <c r="V58" s="464"/>
      <c r="W58" s="465" t="s">
        <v>522</v>
      </c>
      <c r="X58" s="466" t="s">
        <v>12</v>
      </c>
      <c r="Y58" s="462" t="s">
        <v>230</v>
      </c>
      <c r="Z58" s="467" t="e">
        <f t="shared" si="5"/>
        <v>#REF!</v>
      </c>
      <c r="AA58" s="464"/>
      <c r="AB58" s="460" t="s">
        <v>522</v>
      </c>
      <c r="AC58" s="466" t="s">
        <v>12</v>
      </c>
      <c r="AD58" s="462" t="s">
        <v>230</v>
      </c>
    </row>
    <row r="59" spans="1:30" ht="39.75" customHeight="1" x14ac:dyDescent="0.25">
      <c r="A59" s="195">
        <f t="shared" si="0"/>
        <v>47</v>
      </c>
      <c r="B59" s="110" t="e">
        <f>#REF!</f>
        <v>#REF!</v>
      </c>
      <c r="C59" s="111" t="e">
        <f>#REF!</f>
        <v>#REF!</v>
      </c>
      <c r="D59" s="112" t="e">
        <f>#REF!</f>
        <v>#REF!</v>
      </c>
      <c r="E59" s="113" t="e">
        <f>#REF!</f>
        <v>#REF!</v>
      </c>
      <c r="F59" s="458" t="e">
        <f t="shared" si="1"/>
        <v>#REF!</v>
      </c>
      <c r="G59" s="459">
        <v>44453</v>
      </c>
      <c r="H59" s="460" t="s">
        <v>523</v>
      </c>
      <c r="I59" s="461" t="s">
        <v>12</v>
      </c>
      <c r="J59" s="462" t="s">
        <v>129</v>
      </c>
      <c r="K59" s="463" t="e">
        <f t="shared" si="2"/>
        <v>#REF!</v>
      </c>
      <c r="L59" s="464"/>
      <c r="M59" s="465" t="s">
        <v>523</v>
      </c>
      <c r="N59" s="466" t="s">
        <v>12</v>
      </c>
      <c r="O59" s="462" t="s">
        <v>129</v>
      </c>
      <c r="P59" s="467" t="e">
        <f t="shared" si="3"/>
        <v>#REF!</v>
      </c>
      <c r="Q59" s="464">
        <v>44515</v>
      </c>
      <c r="R59" s="460" t="s">
        <v>523</v>
      </c>
      <c r="S59" s="461" t="s">
        <v>12</v>
      </c>
      <c r="T59" s="462" t="s">
        <v>129</v>
      </c>
      <c r="U59" s="463" t="e">
        <f t="shared" si="4"/>
        <v>#REF!</v>
      </c>
      <c r="V59" s="464"/>
      <c r="W59" s="465" t="s">
        <v>523</v>
      </c>
      <c r="X59" s="466" t="s">
        <v>12</v>
      </c>
      <c r="Y59" s="462" t="s">
        <v>129</v>
      </c>
      <c r="Z59" s="467" t="e">
        <f t="shared" si="5"/>
        <v>#REF!</v>
      </c>
      <c r="AA59" s="464"/>
      <c r="AB59" s="460" t="s">
        <v>523</v>
      </c>
      <c r="AC59" s="466" t="s">
        <v>12</v>
      </c>
      <c r="AD59" s="462" t="s">
        <v>129</v>
      </c>
    </row>
    <row r="60" spans="1:30" ht="39.75" customHeight="1" x14ac:dyDescent="0.25">
      <c r="A60" s="195">
        <f t="shared" si="0"/>
        <v>48</v>
      </c>
      <c r="B60" s="110" t="e">
        <f>#REF!</f>
        <v>#REF!</v>
      </c>
      <c r="C60" s="111" t="e">
        <f>#REF!</f>
        <v>#REF!</v>
      </c>
      <c r="D60" s="112" t="e">
        <f>#REF!</f>
        <v>#REF!</v>
      </c>
      <c r="E60" s="113" t="e">
        <f>#REF!</f>
        <v>#REF!</v>
      </c>
      <c r="F60" s="458" t="e">
        <f t="shared" si="1"/>
        <v>#REF!</v>
      </c>
      <c r="G60" s="459">
        <v>44484</v>
      </c>
      <c r="H60" s="460" t="s">
        <v>524</v>
      </c>
      <c r="I60" s="461" t="s">
        <v>12</v>
      </c>
      <c r="J60" s="462" t="s">
        <v>230</v>
      </c>
      <c r="K60" s="463" t="e">
        <f t="shared" si="2"/>
        <v>#REF!</v>
      </c>
      <c r="L60" s="464"/>
      <c r="M60" s="465" t="s">
        <v>524</v>
      </c>
      <c r="N60" s="466" t="s">
        <v>12</v>
      </c>
      <c r="O60" s="462" t="s">
        <v>230</v>
      </c>
      <c r="P60" s="467" t="e">
        <f t="shared" si="3"/>
        <v>#REF!</v>
      </c>
      <c r="Q60" s="464">
        <v>44910</v>
      </c>
      <c r="R60" s="460" t="s">
        <v>524</v>
      </c>
      <c r="S60" s="461" t="s">
        <v>12</v>
      </c>
      <c r="T60" s="462" t="s">
        <v>230</v>
      </c>
      <c r="U60" s="463" t="e">
        <f t="shared" si="4"/>
        <v>#REF!</v>
      </c>
      <c r="V60" s="464"/>
      <c r="W60" s="465" t="s">
        <v>524</v>
      </c>
      <c r="X60" s="466" t="s">
        <v>12</v>
      </c>
      <c r="Y60" s="462" t="s">
        <v>230</v>
      </c>
      <c r="Z60" s="467" t="e">
        <f t="shared" si="5"/>
        <v>#REF!</v>
      </c>
      <c r="AA60" s="464"/>
      <c r="AB60" s="460" t="s">
        <v>524</v>
      </c>
      <c r="AC60" s="466" t="s">
        <v>12</v>
      </c>
      <c r="AD60" s="462" t="s">
        <v>230</v>
      </c>
    </row>
    <row r="61" spans="1:30" ht="39.75" customHeight="1" x14ac:dyDescent="0.25">
      <c r="A61" s="195">
        <f t="shared" si="0"/>
        <v>49</v>
      </c>
      <c r="B61" s="110" t="e">
        <f>#REF!</f>
        <v>#REF!</v>
      </c>
      <c r="C61" s="111" t="e">
        <f>#REF!</f>
        <v>#REF!</v>
      </c>
      <c r="D61" s="112" t="e">
        <f>#REF!</f>
        <v>#REF!</v>
      </c>
      <c r="E61" s="113" t="e">
        <f>#REF!</f>
        <v>#REF!</v>
      </c>
      <c r="F61" s="458" t="e">
        <f t="shared" si="1"/>
        <v>#REF!</v>
      </c>
      <c r="G61" s="459">
        <v>44150</v>
      </c>
      <c r="H61" s="460" t="s">
        <v>522</v>
      </c>
      <c r="I61" s="461" t="s">
        <v>12</v>
      </c>
      <c r="J61" s="462" t="s">
        <v>129</v>
      </c>
      <c r="K61" s="463" t="e">
        <f t="shared" si="2"/>
        <v>#REF!</v>
      </c>
      <c r="L61" s="464"/>
      <c r="M61" s="465" t="s">
        <v>522</v>
      </c>
      <c r="N61" s="466" t="s">
        <v>12</v>
      </c>
      <c r="O61" s="462" t="s">
        <v>129</v>
      </c>
      <c r="P61" s="467" t="e">
        <f t="shared" si="3"/>
        <v>#REF!</v>
      </c>
      <c r="Q61" s="464">
        <v>44211</v>
      </c>
      <c r="R61" s="460" t="s">
        <v>522</v>
      </c>
      <c r="S61" s="461" t="s">
        <v>12</v>
      </c>
      <c r="T61" s="462" t="s">
        <v>129</v>
      </c>
      <c r="U61" s="463" t="e">
        <f t="shared" si="4"/>
        <v>#REF!</v>
      </c>
      <c r="V61" s="464"/>
      <c r="W61" s="465" t="s">
        <v>522</v>
      </c>
      <c r="X61" s="466" t="s">
        <v>12</v>
      </c>
      <c r="Y61" s="462" t="s">
        <v>129</v>
      </c>
      <c r="Z61" s="467" t="e">
        <f t="shared" si="5"/>
        <v>#REF!</v>
      </c>
      <c r="AA61" s="464"/>
      <c r="AB61" s="460" t="s">
        <v>522</v>
      </c>
      <c r="AC61" s="466" t="s">
        <v>12</v>
      </c>
      <c r="AD61" s="462" t="s">
        <v>129</v>
      </c>
    </row>
    <row r="62" spans="1:30" ht="39.75" customHeight="1" x14ac:dyDescent="0.25">
      <c r="A62" s="468">
        <f t="shared" si="0"/>
        <v>50</v>
      </c>
      <c r="B62" s="469" t="e">
        <f>#REF!</f>
        <v>#REF!</v>
      </c>
      <c r="C62" s="470" t="e">
        <f>#REF!</f>
        <v>#REF!</v>
      </c>
      <c r="D62" s="471" t="e">
        <f>#REF!</f>
        <v>#REF!</v>
      </c>
      <c r="E62" s="472" t="e">
        <f>#REF!</f>
        <v>#REF!</v>
      </c>
      <c r="F62" s="473" t="e">
        <f t="shared" si="1"/>
        <v>#REF!</v>
      </c>
      <c r="G62" s="474">
        <v>44181</v>
      </c>
      <c r="H62" s="475" t="s">
        <v>523</v>
      </c>
      <c r="I62" s="461" t="s">
        <v>12</v>
      </c>
      <c r="J62" s="476" t="s">
        <v>230</v>
      </c>
      <c r="K62" s="463" t="e">
        <f t="shared" si="2"/>
        <v>#REF!</v>
      </c>
      <c r="L62" s="477"/>
      <c r="M62" s="478" t="s">
        <v>523</v>
      </c>
      <c r="N62" s="466" t="s">
        <v>12</v>
      </c>
      <c r="O62" s="476" t="s">
        <v>230</v>
      </c>
      <c r="P62" s="467" t="e">
        <f t="shared" si="3"/>
        <v>#REF!</v>
      </c>
      <c r="Q62" s="477">
        <v>44247</v>
      </c>
      <c r="R62" s="475" t="s">
        <v>523</v>
      </c>
      <c r="S62" s="461" t="s">
        <v>12</v>
      </c>
      <c r="T62" s="476" t="s">
        <v>230</v>
      </c>
      <c r="U62" s="463" t="e">
        <f t="shared" si="4"/>
        <v>#REF!</v>
      </c>
      <c r="V62" s="477"/>
      <c r="W62" s="478" t="s">
        <v>523</v>
      </c>
      <c r="X62" s="466" t="s">
        <v>12</v>
      </c>
      <c r="Y62" s="476" t="s">
        <v>230</v>
      </c>
      <c r="Z62" s="467" t="e">
        <f t="shared" si="5"/>
        <v>#REF!</v>
      </c>
      <c r="AA62" s="477"/>
      <c r="AB62" s="475" t="s">
        <v>523</v>
      </c>
      <c r="AC62" s="466" t="s">
        <v>12</v>
      </c>
      <c r="AD62" s="476" t="s">
        <v>230</v>
      </c>
    </row>
    <row r="63" spans="1:30" ht="15.75" customHeight="1" x14ac:dyDescent="0.25">
      <c r="A63" s="479"/>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row>
    <row r="64" spans="1:30"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c r="A69" s="122"/>
    </row>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A7:D7"/>
    <mergeCell ref="E7:H7"/>
    <mergeCell ref="I7:K7"/>
    <mergeCell ref="L7:N7"/>
    <mergeCell ref="A8:D9"/>
    <mergeCell ref="E8:H9"/>
    <mergeCell ref="I8:K8"/>
    <mergeCell ref="L8:N8"/>
    <mergeCell ref="I9:K9"/>
    <mergeCell ref="L9:N9"/>
    <mergeCell ref="A10:D10"/>
    <mergeCell ref="E10:F10"/>
    <mergeCell ref="G10:H10"/>
    <mergeCell ref="I10:K10"/>
    <mergeCell ref="L10:N10"/>
    <mergeCell ref="A2:N2"/>
    <mergeCell ref="A3:N3"/>
    <mergeCell ref="A4:N4"/>
    <mergeCell ref="A5:N5"/>
    <mergeCell ref="E6:H6"/>
    <mergeCell ref="I6:K6"/>
    <mergeCell ref="L6:N6"/>
    <mergeCell ref="A6:D6"/>
  </mergeCells>
  <conditionalFormatting sqref="H13:H62">
    <cfRule type="expression" dxfId="15" priority="1">
      <formula>$I13="Other (Specify in Note Section) "</formula>
    </cfRule>
  </conditionalFormatting>
  <conditionalFormatting sqref="H13:I62">
    <cfRule type="expression" dxfId="14" priority="11">
      <formula>$H13="Other (Specify in Note Section) "</formula>
    </cfRule>
  </conditionalFormatting>
  <conditionalFormatting sqref="I13:I62">
    <cfRule type="expression" dxfId="13" priority="10">
      <formula>$X13="Other (Specify in Note Section) "</formula>
    </cfRule>
  </conditionalFormatting>
  <conditionalFormatting sqref="M13:M62">
    <cfRule type="expression" dxfId="12" priority="2">
      <formula>$N13="Other (Specify in Note Section) "</formula>
    </cfRule>
  </conditionalFormatting>
  <conditionalFormatting sqref="M13:N62">
    <cfRule type="expression" dxfId="11" priority="12">
      <formula>$M13="Other (Specify in Note Section) "</formula>
    </cfRule>
  </conditionalFormatting>
  <conditionalFormatting sqref="N13:N62">
    <cfRule type="expression" dxfId="10" priority="8">
      <formula>$X13="Other (Specify in Note Section) "</formula>
    </cfRule>
  </conditionalFormatting>
  <conditionalFormatting sqref="R13:R62">
    <cfRule type="expression" dxfId="9" priority="3">
      <formula>$S13="Other (Specify in Note Section) "</formula>
    </cfRule>
  </conditionalFormatting>
  <conditionalFormatting sqref="R13:S62">
    <cfRule type="expression" dxfId="8" priority="13">
      <formula>$R13="Other (Specify in Note Section) "</formula>
    </cfRule>
  </conditionalFormatting>
  <conditionalFormatting sqref="S13:S62">
    <cfRule type="expression" dxfId="7" priority="7">
      <formula>$X13="Other (Specify in Note Section) "</formula>
    </cfRule>
  </conditionalFormatting>
  <conditionalFormatting sqref="W13:X62">
    <cfRule type="expression" dxfId="6" priority="4">
      <formula>$W13="Other (Specify in Note Section) "</formula>
    </cfRule>
    <cfRule type="expression" dxfId="5" priority="5">
      <formula>$X13="Other (Specify in Note Section) "</formula>
    </cfRule>
  </conditionalFormatting>
  <conditionalFormatting sqref="AB13:AB62">
    <cfRule type="expression" dxfId="4" priority="6">
      <formula>$AC13="Other (Specify in Note Section) "</formula>
    </cfRule>
  </conditionalFormatting>
  <conditionalFormatting sqref="AB13:AC62">
    <cfRule type="expression" dxfId="3" priority="14">
      <formula>$AB13="Other (Specify in Note Section) "</formula>
    </cfRule>
  </conditionalFormatting>
  <conditionalFormatting sqref="AC13:AC62">
    <cfRule type="expression" dxfId="2" priority="9">
      <formula>$X13="Other (Specify in Note Section) "</formula>
    </cfRule>
  </conditionalFormatting>
  <dataValidations count="3">
    <dataValidation type="date" allowBlank="1" showInputMessage="1" showErrorMessage="1" prompt="Use MM/DD/YYYY. Leave blank until date is needed. " sqref="Q13:Q62" xr:uid="{00000000-0002-0000-1200-000002000000}">
      <formula1>44075</formula1>
      <formula2>45930</formula2>
    </dataValidation>
    <dataValidation type="date" allowBlank="1" showErrorMessage="1" sqref="G13:G62 AA13:AA62" xr:uid="{00000000-0002-0000-1200-000003000000}">
      <formula1>44075</formula1>
      <formula2>45930</formula2>
    </dataValidation>
    <dataValidation type="date" allowBlank="1" showInputMessage="1" showErrorMessage="1" prompt="Use MM/DD/YYYY format.  Leave blank until date is needed. " sqref="L13:L62" xr:uid="{00000000-0002-0000-1200-000004000000}">
      <formula1>44075</formula1>
      <formula2>45930</formula2>
    </dataValidation>
  </dataValidation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1200-000000000000}">
          <x14:formula1>
            <xm:f>'Pick List '!$C$4:$C$9</xm:f>
          </x14:formula1>
          <xm:sqref>G10</xm:sqref>
        </x14:dataValidation>
        <x14:dataValidation type="list" allowBlank="1" showErrorMessage="1" xr:uid="{00000000-0002-0000-1200-000001000000}">
          <x14:formula1>
            <xm:f>'Pick List '!$A$4:$A$15</xm:f>
          </x14:formula1>
          <xm:sqref>E10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385623"/>
  </sheetPr>
  <dimension ref="A1:AE1000"/>
  <sheetViews>
    <sheetView workbookViewId="0"/>
  </sheetViews>
  <sheetFormatPr defaultColWidth="14.42578125" defaultRowHeight="15" customHeight="1" x14ac:dyDescent="0.25"/>
  <cols>
    <col min="1" max="1" width="4.7109375" customWidth="1"/>
    <col min="2" max="2" width="11" customWidth="1"/>
    <col min="3" max="3" width="20" customWidth="1"/>
    <col min="4" max="4" width="14" customWidth="1"/>
    <col min="5" max="5" width="16.140625" customWidth="1"/>
    <col min="6" max="6" width="16.42578125" customWidth="1"/>
    <col min="7" max="7" width="18.140625" customWidth="1"/>
    <col min="8" max="8" width="14.140625" customWidth="1"/>
    <col min="9" max="9" width="13.28515625" customWidth="1"/>
    <col min="10" max="10" width="12.140625" customWidth="1"/>
    <col min="11" max="18" width="5.7109375" customWidth="1"/>
    <col min="19" max="19" width="6.85546875" customWidth="1"/>
    <col min="20" max="20" width="11.140625" customWidth="1"/>
    <col min="21" max="28" width="5.7109375" customWidth="1"/>
    <col min="29" max="29" width="7" customWidth="1"/>
    <col min="30" max="30" width="11.7109375" customWidth="1"/>
    <col min="31" max="31" width="55.28515625" customWidth="1"/>
  </cols>
  <sheetData>
    <row r="1" spans="1:31" ht="69.75" customHeight="1" x14ac:dyDescent="0.25">
      <c r="A1" s="480" t="s">
        <v>27</v>
      </c>
      <c r="B1" s="481" t="s">
        <v>525</v>
      </c>
      <c r="C1" s="482" t="s">
        <v>526</v>
      </c>
      <c r="D1" s="483" t="s">
        <v>527</v>
      </c>
      <c r="E1" s="484" t="s">
        <v>528</v>
      </c>
      <c r="F1" s="485" t="s">
        <v>529</v>
      </c>
      <c r="G1" s="484" t="s">
        <v>530</v>
      </c>
      <c r="H1" s="486" t="s">
        <v>531</v>
      </c>
      <c r="I1" s="484" t="s">
        <v>532</v>
      </c>
      <c r="J1" s="487" t="s">
        <v>533</v>
      </c>
      <c r="K1" s="488" t="s">
        <v>534</v>
      </c>
      <c r="L1" s="489" t="s">
        <v>535</v>
      </c>
      <c r="M1" s="488" t="s">
        <v>536</v>
      </c>
      <c r="N1" s="489" t="s">
        <v>537</v>
      </c>
      <c r="O1" s="488" t="s">
        <v>538</v>
      </c>
      <c r="P1" s="489" t="s">
        <v>539</v>
      </c>
      <c r="Q1" s="488" t="s">
        <v>540</v>
      </c>
      <c r="R1" s="489" t="s">
        <v>541</v>
      </c>
      <c r="S1" s="490" t="s">
        <v>542</v>
      </c>
      <c r="T1" s="491" t="s">
        <v>364</v>
      </c>
      <c r="U1" s="492" t="s">
        <v>534</v>
      </c>
      <c r="V1" s="493" t="s">
        <v>535</v>
      </c>
      <c r="W1" s="492" t="s">
        <v>536</v>
      </c>
      <c r="X1" s="493" t="s">
        <v>537</v>
      </c>
      <c r="Y1" s="492" t="s">
        <v>538</v>
      </c>
      <c r="Z1" s="493" t="s">
        <v>539</v>
      </c>
      <c r="AA1" s="492" t="s">
        <v>540</v>
      </c>
      <c r="AB1" s="493" t="s">
        <v>541</v>
      </c>
      <c r="AC1" s="494" t="s">
        <v>543</v>
      </c>
      <c r="AD1" s="495" t="s">
        <v>364</v>
      </c>
      <c r="AE1" s="496" t="s">
        <v>340</v>
      </c>
    </row>
    <row r="2" spans="1:31" ht="19.5" customHeight="1" x14ac:dyDescent="0.25">
      <c r="A2" s="868" t="str">
        <f>'BASE GRANTEE INFO &amp; UPDATES'!A1</f>
        <v>WV Bureau For Behavioral Health - Harm Reduction 2025</v>
      </c>
      <c r="B2" s="705"/>
      <c r="C2" s="705"/>
      <c r="D2" s="705"/>
      <c r="E2" s="705"/>
      <c r="F2" s="705"/>
      <c r="G2" s="705"/>
      <c r="H2" s="705"/>
      <c r="I2" s="705"/>
      <c r="J2" s="705"/>
      <c r="K2" s="705"/>
      <c r="L2" s="705"/>
      <c r="M2" s="705"/>
      <c r="N2" s="705"/>
      <c r="O2" s="705"/>
      <c r="P2" s="705"/>
      <c r="Q2" s="705"/>
      <c r="R2" s="706"/>
      <c r="S2" s="497"/>
      <c r="T2" s="497"/>
      <c r="U2" s="497"/>
      <c r="V2" s="497"/>
      <c r="W2" s="497"/>
      <c r="X2" s="497"/>
      <c r="Y2" s="497"/>
      <c r="Z2" s="497"/>
      <c r="AA2" s="497"/>
      <c r="AB2" s="497"/>
      <c r="AC2" s="497"/>
      <c r="AD2" s="497"/>
      <c r="AE2" s="498"/>
    </row>
    <row r="3" spans="1:31" ht="19.5" customHeight="1" x14ac:dyDescent="0.25">
      <c r="A3" s="869">
        <f>'BASE GRANTEE INFO &amp; UPDATES'!A2</f>
        <v>0</v>
      </c>
      <c r="B3" s="708"/>
      <c r="C3" s="708"/>
      <c r="D3" s="708"/>
      <c r="E3" s="708"/>
      <c r="F3" s="708"/>
      <c r="G3" s="708"/>
      <c r="H3" s="708"/>
      <c r="I3" s="708"/>
      <c r="J3" s="708"/>
      <c r="K3" s="708"/>
      <c r="L3" s="708"/>
      <c r="M3" s="708"/>
      <c r="N3" s="708"/>
      <c r="O3" s="708"/>
      <c r="P3" s="708"/>
      <c r="Q3" s="708"/>
      <c r="R3" s="778"/>
      <c r="S3" s="499"/>
      <c r="T3" s="499"/>
      <c r="U3" s="499"/>
      <c r="V3" s="499"/>
      <c r="W3" s="499"/>
      <c r="X3" s="499"/>
      <c r="Y3" s="499"/>
      <c r="Z3" s="499"/>
      <c r="AA3" s="499"/>
      <c r="AB3" s="499"/>
      <c r="AC3" s="499"/>
      <c r="AD3" s="499"/>
      <c r="AE3" s="500"/>
    </row>
    <row r="4" spans="1:31" ht="19.5" customHeight="1" x14ac:dyDescent="0.25">
      <c r="A4" s="870"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11"/>
      <c r="N4" s="711"/>
      <c r="O4" s="711"/>
      <c r="P4" s="711"/>
      <c r="Q4" s="711"/>
      <c r="R4" s="712"/>
      <c r="S4" s="499"/>
      <c r="T4" s="499"/>
      <c r="U4" s="499"/>
      <c r="V4" s="499"/>
      <c r="W4" s="499"/>
      <c r="X4" s="499"/>
      <c r="Y4" s="499"/>
      <c r="Z4" s="499"/>
      <c r="AA4" s="499"/>
      <c r="AB4" s="499"/>
      <c r="AC4" s="499"/>
      <c r="AD4" s="499"/>
      <c r="AE4" s="500"/>
    </row>
    <row r="5" spans="1:31" ht="20.25" customHeight="1" x14ac:dyDescent="0.25">
      <c r="A5" s="871" t="s">
        <v>544</v>
      </c>
      <c r="B5" s="708"/>
      <c r="C5" s="708"/>
      <c r="D5" s="708"/>
      <c r="E5" s="708"/>
      <c r="F5" s="708"/>
      <c r="G5" s="708"/>
      <c r="H5" s="708"/>
      <c r="I5" s="708"/>
      <c r="J5" s="708"/>
      <c r="K5" s="708"/>
      <c r="L5" s="708"/>
      <c r="M5" s="708"/>
      <c r="N5" s="708"/>
      <c r="O5" s="708"/>
      <c r="P5" s="709"/>
      <c r="Q5" s="501"/>
      <c r="R5" s="501"/>
      <c r="S5" s="501"/>
      <c r="T5" s="501"/>
      <c r="U5" s="501"/>
      <c r="V5" s="501"/>
      <c r="W5" s="501"/>
      <c r="X5" s="501"/>
      <c r="Y5" s="501"/>
      <c r="Z5" s="501"/>
      <c r="AA5" s="501"/>
      <c r="AB5" s="501"/>
      <c r="AC5" s="501"/>
      <c r="AD5" s="501"/>
      <c r="AE5" s="502"/>
    </row>
    <row r="6" spans="1:31" ht="19.5" customHeight="1" x14ac:dyDescent="0.25">
      <c r="A6" s="876" t="s">
        <v>545</v>
      </c>
      <c r="B6" s="698"/>
      <c r="C6" s="698"/>
      <c r="D6" s="699"/>
      <c r="E6" s="872" t="str">
        <f>'BASE GRANTEE INFO &amp; UPDATES'!E5</f>
        <v>Harm Reduction Program</v>
      </c>
      <c r="F6" s="698"/>
      <c r="G6" s="699"/>
      <c r="H6" s="873" t="s">
        <v>0</v>
      </c>
      <c r="I6" s="698"/>
      <c r="J6" s="699"/>
      <c r="K6" s="872">
        <f>'BASE GRANTEE INFO &amp; UPDATES'!M5</f>
        <v>0</v>
      </c>
      <c r="L6" s="698"/>
      <c r="M6" s="698"/>
      <c r="N6" s="698"/>
      <c r="O6" s="698"/>
      <c r="P6" s="698"/>
      <c r="Q6" s="698"/>
      <c r="R6" s="699"/>
      <c r="S6" s="27"/>
      <c r="T6" s="27"/>
      <c r="U6" s="27"/>
      <c r="V6" s="27"/>
      <c r="W6" s="27"/>
      <c r="X6" s="27"/>
      <c r="Y6" s="503"/>
      <c r="Z6" s="503"/>
      <c r="AA6" s="503"/>
      <c r="AB6" s="503"/>
      <c r="AC6" s="503"/>
      <c r="AD6" s="503"/>
      <c r="AE6" s="504"/>
    </row>
    <row r="7" spans="1:31" x14ac:dyDescent="0.25">
      <c r="A7" s="874" t="s">
        <v>546</v>
      </c>
      <c r="B7" s="698"/>
      <c r="C7" s="698"/>
      <c r="D7" s="699"/>
      <c r="E7" s="875">
        <f>'BASE GRANTEE INFO &amp; UPDATES'!E6</f>
        <v>0</v>
      </c>
      <c r="F7" s="698"/>
      <c r="G7" s="699"/>
      <c r="H7" s="877" t="s">
        <v>547</v>
      </c>
      <c r="I7" s="698"/>
      <c r="J7" s="699"/>
      <c r="K7" s="878">
        <f>'BASE GRANTEE INFO &amp; UPDATES'!M6</f>
        <v>0</v>
      </c>
      <c r="L7" s="698"/>
      <c r="M7" s="698"/>
      <c r="N7" s="698"/>
      <c r="O7" s="698"/>
      <c r="P7" s="698"/>
      <c r="Q7" s="698"/>
      <c r="R7" s="699"/>
      <c r="S7" s="27"/>
      <c r="T7" s="27"/>
      <c r="U7" s="27"/>
      <c r="V7" s="27"/>
      <c r="W7" s="27"/>
      <c r="X7" s="27"/>
      <c r="Y7" s="27"/>
      <c r="Z7" s="27"/>
      <c r="AA7" s="27"/>
      <c r="AB7" s="27"/>
      <c r="AC7" s="27"/>
      <c r="AD7" s="27"/>
      <c r="AE7" s="504"/>
    </row>
    <row r="8" spans="1:31" ht="15" customHeight="1" x14ac:dyDescent="0.25">
      <c r="A8" s="879" t="s">
        <v>548</v>
      </c>
      <c r="B8" s="766"/>
      <c r="C8" s="766"/>
      <c r="D8" s="767"/>
      <c r="E8" s="880">
        <f>'BASE GRANTEE INFO &amp; UPDATES'!E7</f>
        <v>0</v>
      </c>
      <c r="F8" s="766"/>
      <c r="G8" s="767"/>
      <c r="H8" s="874" t="s">
        <v>549</v>
      </c>
      <c r="I8" s="698"/>
      <c r="J8" s="699"/>
      <c r="K8" s="875">
        <f>'BASE GRANTEE INFO &amp; UPDATES'!M7</f>
        <v>0</v>
      </c>
      <c r="L8" s="698"/>
      <c r="M8" s="698"/>
      <c r="N8" s="698"/>
      <c r="O8" s="698"/>
      <c r="P8" s="698"/>
      <c r="Q8" s="698"/>
      <c r="R8" s="699"/>
      <c r="S8" s="27"/>
      <c r="T8" s="27"/>
      <c r="U8" s="27"/>
      <c r="V8" s="27"/>
      <c r="W8" s="27"/>
      <c r="X8" s="27"/>
      <c r="Y8" s="505"/>
      <c r="Z8" s="505"/>
      <c r="AA8" s="505"/>
      <c r="AB8" s="505"/>
      <c r="AC8" s="505"/>
      <c r="AD8" s="505"/>
      <c r="AE8" s="504"/>
    </row>
    <row r="9" spans="1:31" x14ac:dyDescent="0.25">
      <c r="A9" s="768"/>
      <c r="B9" s="769"/>
      <c r="C9" s="769"/>
      <c r="D9" s="770"/>
      <c r="E9" s="768"/>
      <c r="F9" s="769"/>
      <c r="G9" s="770"/>
      <c r="H9" s="874" t="s">
        <v>550</v>
      </c>
      <c r="I9" s="698"/>
      <c r="J9" s="699"/>
      <c r="K9" s="875">
        <f>'BASE GRANTEE INFO &amp; UPDATES'!M8</f>
        <v>0</v>
      </c>
      <c r="L9" s="698"/>
      <c r="M9" s="698"/>
      <c r="N9" s="698"/>
      <c r="O9" s="698"/>
      <c r="P9" s="698"/>
      <c r="Q9" s="698"/>
      <c r="R9" s="699"/>
      <c r="S9" s="27"/>
      <c r="T9" s="27"/>
      <c r="U9" s="27"/>
      <c r="V9" s="27"/>
      <c r="W9" s="27"/>
      <c r="X9" s="27"/>
      <c r="Y9" s="505"/>
      <c r="Z9" s="505"/>
      <c r="AA9" s="505"/>
      <c r="AB9" s="505"/>
      <c r="AC9" s="505"/>
      <c r="AD9" s="505"/>
      <c r="AE9" s="504"/>
    </row>
    <row r="10" spans="1:31" x14ac:dyDescent="0.25">
      <c r="A10" s="506" t="s">
        <v>551</v>
      </c>
      <c r="B10" s="507"/>
      <c r="C10" s="507"/>
      <c r="D10" s="507"/>
      <c r="E10" s="883" t="str">
        <f>'BASE GRANTEE INFO &amp; UPDATES'!E9</f>
        <v>September 1 - 30</v>
      </c>
      <c r="F10" s="699"/>
      <c r="G10" s="508">
        <f>'BASE GRANTEE INFO &amp; UPDATES'!G9</f>
        <v>2024</v>
      </c>
      <c r="H10" s="873" t="s">
        <v>552</v>
      </c>
      <c r="I10" s="698"/>
      <c r="J10" s="699"/>
      <c r="K10" s="875">
        <f>'BASE GRANTEE INFO &amp; UPDATES'!M9</f>
        <v>0</v>
      </c>
      <c r="L10" s="698"/>
      <c r="M10" s="698"/>
      <c r="N10" s="698"/>
      <c r="O10" s="698"/>
      <c r="P10" s="698"/>
      <c r="Q10" s="698"/>
      <c r="R10" s="699"/>
      <c r="S10" s="27"/>
      <c r="T10" s="27"/>
      <c r="U10" s="27"/>
      <c r="V10" s="27"/>
      <c r="W10" s="27"/>
      <c r="X10" s="27"/>
      <c r="Y10" s="27"/>
      <c r="Z10" s="27"/>
      <c r="AA10" s="27"/>
      <c r="AB10" s="27"/>
      <c r="AC10" s="27"/>
      <c r="AD10" s="27"/>
      <c r="AE10" s="504"/>
    </row>
    <row r="11" spans="1:31" ht="18.75" customHeight="1" x14ac:dyDescent="0.25">
      <c r="A11" s="884" t="s">
        <v>553</v>
      </c>
      <c r="B11" s="698"/>
      <c r="C11" s="698"/>
      <c r="D11" s="698"/>
      <c r="E11" s="698"/>
      <c r="F11" s="698"/>
      <c r="G11" s="698"/>
      <c r="H11" s="698"/>
      <c r="I11" s="698"/>
      <c r="J11" s="698"/>
      <c r="K11" s="698"/>
      <c r="L11" s="698"/>
      <c r="M11" s="698"/>
      <c r="N11" s="698"/>
      <c r="O11" s="698"/>
      <c r="P11" s="714"/>
      <c r="Q11" s="509"/>
      <c r="R11" s="509"/>
      <c r="S11" s="509"/>
      <c r="T11" s="509"/>
      <c r="U11" s="509"/>
      <c r="V11" s="509"/>
      <c r="W11" s="509"/>
      <c r="X11" s="509"/>
      <c r="Y11" s="509"/>
      <c r="Z11" s="509"/>
      <c r="AA11" s="509"/>
      <c r="AB11" s="509"/>
      <c r="AC11" s="509"/>
      <c r="AD11" s="509"/>
      <c r="AE11" s="510"/>
    </row>
    <row r="12" spans="1:31" ht="39.75" customHeight="1" x14ac:dyDescent="0.25">
      <c r="A12" s="42" t="s">
        <v>27</v>
      </c>
      <c r="B12" s="885" t="s">
        <v>554</v>
      </c>
      <c r="C12" s="698"/>
      <c r="D12" s="698"/>
      <c r="E12" s="698"/>
      <c r="F12" s="698"/>
      <c r="G12" s="698"/>
      <c r="H12" s="698"/>
      <c r="I12" s="698"/>
      <c r="J12" s="699"/>
      <c r="K12" s="881" t="s">
        <v>555</v>
      </c>
      <c r="L12" s="698"/>
      <c r="M12" s="698"/>
      <c r="N12" s="698"/>
      <c r="O12" s="698"/>
      <c r="P12" s="698"/>
      <c r="Q12" s="698"/>
      <c r="R12" s="698"/>
      <c r="S12" s="698"/>
      <c r="T12" s="699"/>
      <c r="U12" s="882" t="s">
        <v>556</v>
      </c>
      <c r="V12" s="698"/>
      <c r="W12" s="698"/>
      <c r="X12" s="698"/>
      <c r="Y12" s="698"/>
      <c r="Z12" s="698"/>
      <c r="AA12" s="698"/>
      <c r="AB12" s="698"/>
      <c r="AC12" s="698"/>
      <c r="AD12" s="699"/>
      <c r="AE12" s="511" t="s">
        <v>340</v>
      </c>
    </row>
    <row r="13" spans="1:31" ht="69.75" customHeight="1" x14ac:dyDescent="0.25">
      <c r="A13" s="512" t="s">
        <v>27</v>
      </c>
      <c r="B13" s="513" t="s">
        <v>525</v>
      </c>
      <c r="C13" s="514" t="s">
        <v>526</v>
      </c>
      <c r="D13" s="515" t="s">
        <v>527</v>
      </c>
      <c r="E13" s="516" t="s">
        <v>528</v>
      </c>
      <c r="F13" s="517" t="s">
        <v>529</v>
      </c>
      <c r="G13" s="516" t="s">
        <v>530</v>
      </c>
      <c r="H13" s="518" t="s">
        <v>531</v>
      </c>
      <c r="I13" s="516" t="s">
        <v>532</v>
      </c>
      <c r="J13" s="519" t="s">
        <v>533</v>
      </c>
      <c r="K13" s="520" t="s">
        <v>534</v>
      </c>
      <c r="L13" s="521" t="s">
        <v>535</v>
      </c>
      <c r="M13" s="520" t="s">
        <v>536</v>
      </c>
      <c r="N13" s="521" t="s">
        <v>537</v>
      </c>
      <c r="O13" s="520" t="s">
        <v>538</v>
      </c>
      <c r="P13" s="521" t="s">
        <v>539</v>
      </c>
      <c r="Q13" s="520" t="s">
        <v>540</v>
      </c>
      <c r="R13" s="521" t="s">
        <v>541</v>
      </c>
      <c r="S13" s="522" t="s">
        <v>557</v>
      </c>
      <c r="T13" s="491" t="s">
        <v>364</v>
      </c>
      <c r="U13" s="523" t="s">
        <v>534</v>
      </c>
      <c r="V13" s="524" t="s">
        <v>535</v>
      </c>
      <c r="W13" s="523" t="s">
        <v>536</v>
      </c>
      <c r="X13" s="524" t="s">
        <v>537</v>
      </c>
      <c r="Y13" s="523" t="s">
        <v>538</v>
      </c>
      <c r="Z13" s="524" t="s">
        <v>539</v>
      </c>
      <c r="AA13" s="523" t="s">
        <v>540</v>
      </c>
      <c r="AB13" s="524" t="s">
        <v>541</v>
      </c>
      <c r="AC13" s="494" t="s">
        <v>557</v>
      </c>
      <c r="AD13" s="495" t="s">
        <v>364</v>
      </c>
      <c r="AE13" s="525" t="s">
        <v>340</v>
      </c>
    </row>
    <row r="14" spans="1:31" ht="39.75" customHeight="1" x14ac:dyDescent="0.25">
      <c r="A14" s="526">
        <f t="shared" ref="A14:A63" si="0">ROW(A1)</f>
        <v>1</v>
      </c>
      <c r="B14" s="527">
        <v>44105</v>
      </c>
      <c r="C14" s="528" t="s">
        <v>12</v>
      </c>
      <c r="D14" s="529" t="s">
        <v>129</v>
      </c>
      <c r="E14" s="528" t="s">
        <v>12</v>
      </c>
      <c r="F14" s="530" t="s">
        <v>12</v>
      </c>
      <c r="G14" s="528" t="s">
        <v>12</v>
      </c>
      <c r="H14" s="531" t="s">
        <v>12</v>
      </c>
      <c r="I14" s="228" t="s">
        <v>12</v>
      </c>
      <c r="J14" s="529" t="s">
        <v>129</v>
      </c>
      <c r="K14" s="532">
        <v>1</v>
      </c>
      <c r="L14" s="533">
        <v>1</v>
      </c>
      <c r="M14" s="532">
        <v>1</v>
      </c>
      <c r="N14" s="533">
        <v>1</v>
      </c>
      <c r="O14" s="532">
        <v>1</v>
      </c>
      <c r="P14" s="533">
        <v>1</v>
      </c>
      <c r="Q14" s="532">
        <v>1</v>
      </c>
      <c r="R14" s="533">
        <v>1</v>
      </c>
      <c r="S14" s="534">
        <v>1</v>
      </c>
      <c r="T14" s="535" t="s">
        <v>12</v>
      </c>
      <c r="U14" s="89">
        <v>1</v>
      </c>
      <c r="V14" s="536">
        <v>1</v>
      </c>
      <c r="W14" s="89">
        <v>1</v>
      </c>
      <c r="X14" s="536">
        <v>1</v>
      </c>
      <c r="Y14" s="89">
        <v>1</v>
      </c>
      <c r="Z14" s="536">
        <v>1</v>
      </c>
      <c r="AA14" s="89">
        <v>1</v>
      </c>
      <c r="AB14" s="536">
        <v>1</v>
      </c>
      <c r="AC14" s="537">
        <v>1</v>
      </c>
      <c r="AD14" s="391" t="s">
        <v>12</v>
      </c>
      <c r="AE14" s="538" t="s">
        <v>558</v>
      </c>
    </row>
    <row r="15" spans="1:31" ht="39.75" customHeight="1" x14ac:dyDescent="0.25">
      <c r="A15" s="526">
        <f t="shared" si="0"/>
        <v>2</v>
      </c>
      <c r="B15" s="527">
        <v>44136</v>
      </c>
      <c r="C15" s="528" t="s">
        <v>12</v>
      </c>
      <c r="D15" s="529" t="s">
        <v>230</v>
      </c>
      <c r="E15" s="528" t="s">
        <v>12</v>
      </c>
      <c r="F15" s="530" t="s">
        <v>12</v>
      </c>
      <c r="G15" s="528" t="s">
        <v>12</v>
      </c>
      <c r="H15" s="531" t="s">
        <v>12</v>
      </c>
      <c r="I15" s="228" t="s">
        <v>12</v>
      </c>
      <c r="J15" s="529" t="s">
        <v>230</v>
      </c>
      <c r="K15" s="532">
        <v>1</v>
      </c>
      <c r="L15" s="533">
        <v>1</v>
      </c>
      <c r="M15" s="532">
        <v>1</v>
      </c>
      <c r="N15" s="533">
        <v>1</v>
      </c>
      <c r="O15" s="532">
        <v>1</v>
      </c>
      <c r="P15" s="533">
        <v>1</v>
      </c>
      <c r="Q15" s="532">
        <v>1</v>
      </c>
      <c r="R15" s="533">
        <v>1</v>
      </c>
      <c r="S15" s="534">
        <v>1</v>
      </c>
      <c r="T15" s="535" t="s">
        <v>12</v>
      </c>
      <c r="U15" s="89">
        <v>1</v>
      </c>
      <c r="V15" s="536">
        <v>1</v>
      </c>
      <c r="W15" s="89">
        <v>1</v>
      </c>
      <c r="X15" s="536">
        <v>1</v>
      </c>
      <c r="Y15" s="89">
        <v>1</v>
      </c>
      <c r="Z15" s="536">
        <v>1</v>
      </c>
      <c r="AA15" s="89">
        <v>1</v>
      </c>
      <c r="AB15" s="536">
        <v>1</v>
      </c>
      <c r="AC15" s="537">
        <v>1</v>
      </c>
      <c r="AD15" s="391" t="s">
        <v>12</v>
      </c>
      <c r="AE15" s="538" t="s">
        <v>558</v>
      </c>
    </row>
    <row r="16" spans="1:31" ht="39.75" customHeight="1" x14ac:dyDescent="0.25">
      <c r="A16" s="526">
        <f t="shared" si="0"/>
        <v>3</v>
      </c>
      <c r="B16" s="527">
        <v>44166</v>
      </c>
      <c r="C16" s="528" t="s">
        <v>12</v>
      </c>
      <c r="D16" s="529" t="s">
        <v>129</v>
      </c>
      <c r="E16" s="528" t="s">
        <v>12</v>
      </c>
      <c r="F16" s="530" t="s">
        <v>12</v>
      </c>
      <c r="G16" s="528" t="s">
        <v>12</v>
      </c>
      <c r="H16" s="531" t="s">
        <v>12</v>
      </c>
      <c r="I16" s="228" t="s">
        <v>12</v>
      </c>
      <c r="J16" s="529" t="s">
        <v>129</v>
      </c>
      <c r="K16" s="532">
        <v>1</v>
      </c>
      <c r="L16" s="533">
        <v>1</v>
      </c>
      <c r="M16" s="532">
        <v>1</v>
      </c>
      <c r="N16" s="533">
        <v>1</v>
      </c>
      <c r="O16" s="532">
        <v>1</v>
      </c>
      <c r="P16" s="533">
        <v>1</v>
      </c>
      <c r="Q16" s="532">
        <v>1</v>
      </c>
      <c r="R16" s="533">
        <v>1</v>
      </c>
      <c r="S16" s="534">
        <v>1</v>
      </c>
      <c r="T16" s="535" t="s">
        <v>12</v>
      </c>
      <c r="U16" s="89">
        <v>1</v>
      </c>
      <c r="V16" s="536">
        <v>1</v>
      </c>
      <c r="W16" s="89">
        <v>1</v>
      </c>
      <c r="X16" s="536">
        <v>1</v>
      </c>
      <c r="Y16" s="89">
        <v>1</v>
      </c>
      <c r="Z16" s="536">
        <v>1</v>
      </c>
      <c r="AA16" s="89">
        <v>1</v>
      </c>
      <c r="AB16" s="536">
        <v>1</v>
      </c>
      <c r="AC16" s="537">
        <v>1</v>
      </c>
      <c r="AD16" s="391" t="s">
        <v>12</v>
      </c>
      <c r="AE16" s="538" t="s">
        <v>558</v>
      </c>
    </row>
    <row r="17" spans="1:31" ht="39.75" customHeight="1" x14ac:dyDescent="0.25">
      <c r="A17" s="526">
        <f t="shared" si="0"/>
        <v>4</v>
      </c>
      <c r="B17" s="527">
        <v>44197</v>
      </c>
      <c r="C17" s="528" t="s">
        <v>12</v>
      </c>
      <c r="D17" s="529" t="s">
        <v>230</v>
      </c>
      <c r="E17" s="528" t="s">
        <v>12</v>
      </c>
      <c r="F17" s="530" t="s">
        <v>12</v>
      </c>
      <c r="G17" s="528" t="s">
        <v>12</v>
      </c>
      <c r="H17" s="531" t="s">
        <v>12</v>
      </c>
      <c r="I17" s="228" t="s">
        <v>12</v>
      </c>
      <c r="J17" s="529" t="s">
        <v>230</v>
      </c>
      <c r="K17" s="532">
        <v>1</v>
      </c>
      <c r="L17" s="533">
        <v>1</v>
      </c>
      <c r="M17" s="532">
        <v>1</v>
      </c>
      <c r="N17" s="533">
        <v>1</v>
      </c>
      <c r="O17" s="532">
        <v>1</v>
      </c>
      <c r="P17" s="533">
        <v>1</v>
      </c>
      <c r="Q17" s="532">
        <v>1</v>
      </c>
      <c r="R17" s="533">
        <v>1</v>
      </c>
      <c r="S17" s="534">
        <v>1</v>
      </c>
      <c r="T17" s="535" t="s">
        <v>12</v>
      </c>
      <c r="U17" s="89">
        <v>1</v>
      </c>
      <c r="V17" s="536">
        <v>1</v>
      </c>
      <c r="W17" s="89">
        <v>1</v>
      </c>
      <c r="X17" s="536">
        <v>1</v>
      </c>
      <c r="Y17" s="89">
        <v>1</v>
      </c>
      <c r="Z17" s="536">
        <v>1</v>
      </c>
      <c r="AA17" s="89">
        <v>1</v>
      </c>
      <c r="AB17" s="536">
        <v>1</v>
      </c>
      <c r="AC17" s="537">
        <v>1</v>
      </c>
      <c r="AD17" s="391" t="s">
        <v>12</v>
      </c>
      <c r="AE17" s="538" t="s">
        <v>558</v>
      </c>
    </row>
    <row r="18" spans="1:31" ht="39.75" customHeight="1" x14ac:dyDescent="0.25">
      <c r="A18" s="526">
        <f t="shared" si="0"/>
        <v>5</v>
      </c>
      <c r="B18" s="527">
        <v>44228</v>
      </c>
      <c r="C18" s="528" t="s">
        <v>12</v>
      </c>
      <c r="D18" s="529" t="s">
        <v>129</v>
      </c>
      <c r="E18" s="528" t="s">
        <v>12</v>
      </c>
      <c r="F18" s="530" t="s">
        <v>12</v>
      </c>
      <c r="G18" s="528" t="s">
        <v>12</v>
      </c>
      <c r="H18" s="531" t="s">
        <v>12</v>
      </c>
      <c r="I18" s="228" t="s">
        <v>12</v>
      </c>
      <c r="J18" s="529" t="s">
        <v>129</v>
      </c>
      <c r="K18" s="532">
        <v>1</v>
      </c>
      <c r="L18" s="533">
        <v>1</v>
      </c>
      <c r="M18" s="532">
        <v>1</v>
      </c>
      <c r="N18" s="533">
        <v>1</v>
      </c>
      <c r="O18" s="532">
        <v>1</v>
      </c>
      <c r="P18" s="533">
        <v>1</v>
      </c>
      <c r="Q18" s="532">
        <v>1</v>
      </c>
      <c r="R18" s="533">
        <v>1</v>
      </c>
      <c r="S18" s="534">
        <v>1</v>
      </c>
      <c r="T18" s="535" t="s">
        <v>12</v>
      </c>
      <c r="U18" s="89">
        <v>1</v>
      </c>
      <c r="V18" s="536">
        <v>1</v>
      </c>
      <c r="W18" s="89">
        <v>1</v>
      </c>
      <c r="X18" s="536">
        <v>1</v>
      </c>
      <c r="Y18" s="89">
        <v>1</v>
      </c>
      <c r="Z18" s="536">
        <v>1</v>
      </c>
      <c r="AA18" s="89">
        <v>1</v>
      </c>
      <c r="AB18" s="536">
        <v>1</v>
      </c>
      <c r="AC18" s="537">
        <v>1</v>
      </c>
      <c r="AD18" s="391" t="s">
        <v>12</v>
      </c>
      <c r="AE18" s="538" t="s">
        <v>558</v>
      </c>
    </row>
    <row r="19" spans="1:31" ht="39.75" customHeight="1" x14ac:dyDescent="0.25">
      <c r="A19" s="526">
        <f t="shared" si="0"/>
        <v>6</v>
      </c>
      <c r="B19" s="527">
        <v>44256</v>
      </c>
      <c r="C19" s="528" t="s">
        <v>12</v>
      </c>
      <c r="D19" s="529" t="s">
        <v>230</v>
      </c>
      <c r="E19" s="528" t="s">
        <v>12</v>
      </c>
      <c r="F19" s="530" t="s">
        <v>12</v>
      </c>
      <c r="G19" s="528" t="s">
        <v>12</v>
      </c>
      <c r="H19" s="531" t="s">
        <v>12</v>
      </c>
      <c r="I19" s="228" t="s">
        <v>12</v>
      </c>
      <c r="J19" s="529" t="s">
        <v>230</v>
      </c>
      <c r="K19" s="532">
        <v>1</v>
      </c>
      <c r="L19" s="533">
        <v>1</v>
      </c>
      <c r="M19" s="532">
        <v>1</v>
      </c>
      <c r="N19" s="533">
        <v>1</v>
      </c>
      <c r="O19" s="532">
        <v>1</v>
      </c>
      <c r="P19" s="533">
        <v>1</v>
      </c>
      <c r="Q19" s="532">
        <v>1</v>
      </c>
      <c r="R19" s="533">
        <v>1</v>
      </c>
      <c r="S19" s="534">
        <v>1</v>
      </c>
      <c r="T19" s="535" t="s">
        <v>12</v>
      </c>
      <c r="U19" s="89">
        <v>1</v>
      </c>
      <c r="V19" s="536">
        <v>1</v>
      </c>
      <c r="W19" s="89">
        <v>1</v>
      </c>
      <c r="X19" s="536">
        <v>1</v>
      </c>
      <c r="Y19" s="89">
        <v>1</v>
      </c>
      <c r="Z19" s="536">
        <v>1</v>
      </c>
      <c r="AA19" s="89">
        <v>1</v>
      </c>
      <c r="AB19" s="536">
        <v>1</v>
      </c>
      <c r="AC19" s="537">
        <v>1</v>
      </c>
      <c r="AD19" s="391" t="s">
        <v>12</v>
      </c>
      <c r="AE19" s="538" t="s">
        <v>12</v>
      </c>
    </row>
    <row r="20" spans="1:31" ht="39.75" customHeight="1" x14ac:dyDescent="0.25">
      <c r="A20" s="526">
        <f t="shared" si="0"/>
        <v>7</v>
      </c>
      <c r="B20" s="527">
        <v>44287</v>
      </c>
      <c r="C20" s="528" t="s">
        <v>12</v>
      </c>
      <c r="D20" s="529" t="s">
        <v>129</v>
      </c>
      <c r="E20" s="528" t="s">
        <v>12</v>
      </c>
      <c r="F20" s="530" t="s">
        <v>12</v>
      </c>
      <c r="G20" s="528" t="s">
        <v>12</v>
      </c>
      <c r="H20" s="531" t="s">
        <v>12</v>
      </c>
      <c r="I20" s="228" t="s">
        <v>12</v>
      </c>
      <c r="J20" s="529" t="s">
        <v>129</v>
      </c>
      <c r="K20" s="532">
        <v>1</v>
      </c>
      <c r="L20" s="533">
        <v>1</v>
      </c>
      <c r="M20" s="532">
        <v>1</v>
      </c>
      <c r="N20" s="533">
        <v>1</v>
      </c>
      <c r="O20" s="532">
        <v>1</v>
      </c>
      <c r="P20" s="533">
        <v>1</v>
      </c>
      <c r="Q20" s="532">
        <v>1</v>
      </c>
      <c r="R20" s="533">
        <v>1</v>
      </c>
      <c r="S20" s="534">
        <v>1</v>
      </c>
      <c r="T20" s="535" t="s">
        <v>12</v>
      </c>
      <c r="U20" s="89">
        <v>1</v>
      </c>
      <c r="V20" s="536">
        <v>1</v>
      </c>
      <c r="W20" s="89">
        <v>1</v>
      </c>
      <c r="X20" s="536">
        <v>1</v>
      </c>
      <c r="Y20" s="89">
        <v>1</v>
      </c>
      <c r="Z20" s="536">
        <v>1</v>
      </c>
      <c r="AA20" s="89">
        <v>1</v>
      </c>
      <c r="AB20" s="536">
        <v>1</v>
      </c>
      <c r="AC20" s="537">
        <v>1</v>
      </c>
      <c r="AD20" s="391" t="s">
        <v>12</v>
      </c>
      <c r="AE20" s="538" t="s">
        <v>12</v>
      </c>
    </row>
    <row r="21" spans="1:31" ht="39.75" customHeight="1" x14ac:dyDescent="0.25">
      <c r="A21" s="526">
        <f t="shared" si="0"/>
        <v>8</v>
      </c>
      <c r="B21" s="527">
        <v>44317</v>
      </c>
      <c r="C21" s="528" t="s">
        <v>12</v>
      </c>
      <c r="D21" s="529" t="s">
        <v>129</v>
      </c>
      <c r="E21" s="528" t="s">
        <v>12</v>
      </c>
      <c r="F21" s="530" t="s">
        <v>12</v>
      </c>
      <c r="G21" s="528" t="s">
        <v>12</v>
      </c>
      <c r="H21" s="531" t="s">
        <v>12</v>
      </c>
      <c r="I21" s="228" t="s">
        <v>12</v>
      </c>
      <c r="J21" s="529" t="s">
        <v>129</v>
      </c>
      <c r="K21" s="532">
        <v>1</v>
      </c>
      <c r="L21" s="533">
        <v>1</v>
      </c>
      <c r="M21" s="532">
        <v>1</v>
      </c>
      <c r="N21" s="533">
        <v>1</v>
      </c>
      <c r="O21" s="532">
        <v>1</v>
      </c>
      <c r="P21" s="533">
        <v>1</v>
      </c>
      <c r="Q21" s="532">
        <v>1</v>
      </c>
      <c r="R21" s="533">
        <v>1</v>
      </c>
      <c r="S21" s="534">
        <v>1</v>
      </c>
      <c r="T21" s="535" t="s">
        <v>12</v>
      </c>
      <c r="U21" s="89">
        <v>1</v>
      </c>
      <c r="V21" s="536">
        <v>1</v>
      </c>
      <c r="W21" s="89">
        <v>1</v>
      </c>
      <c r="X21" s="536">
        <v>1</v>
      </c>
      <c r="Y21" s="89">
        <v>1</v>
      </c>
      <c r="Z21" s="536">
        <v>1</v>
      </c>
      <c r="AA21" s="89">
        <v>1</v>
      </c>
      <c r="AB21" s="536">
        <v>1</v>
      </c>
      <c r="AC21" s="537">
        <v>1</v>
      </c>
      <c r="AD21" s="391" t="s">
        <v>12</v>
      </c>
      <c r="AE21" s="538" t="s">
        <v>558</v>
      </c>
    </row>
    <row r="22" spans="1:31" ht="39.75" customHeight="1" x14ac:dyDescent="0.25">
      <c r="A22" s="526">
        <f t="shared" si="0"/>
        <v>9</v>
      </c>
      <c r="B22" s="527">
        <v>44348</v>
      </c>
      <c r="C22" s="528" t="s">
        <v>12</v>
      </c>
      <c r="D22" s="529" t="s">
        <v>230</v>
      </c>
      <c r="E22" s="528" t="s">
        <v>12</v>
      </c>
      <c r="F22" s="530" t="s">
        <v>12</v>
      </c>
      <c r="G22" s="528" t="s">
        <v>12</v>
      </c>
      <c r="H22" s="531" t="s">
        <v>12</v>
      </c>
      <c r="I22" s="228" t="s">
        <v>12</v>
      </c>
      <c r="J22" s="529" t="s">
        <v>230</v>
      </c>
      <c r="K22" s="532">
        <v>1</v>
      </c>
      <c r="L22" s="533">
        <v>1</v>
      </c>
      <c r="M22" s="532">
        <v>1</v>
      </c>
      <c r="N22" s="533">
        <v>1</v>
      </c>
      <c r="O22" s="532">
        <v>1</v>
      </c>
      <c r="P22" s="533">
        <v>1</v>
      </c>
      <c r="Q22" s="532">
        <v>1</v>
      </c>
      <c r="R22" s="533">
        <v>1</v>
      </c>
      <c r="S22" s="534">
        <v>1</v>
      </c>
      <c r="T22" s="535" t="s">
        <v>12</v>
      </c>
      <c r="U22" s="89">
        <v>1</v>
      </c>
      <c r="V22" s="536">
        <v>1</v>
      </c>
      <c r="W22" s="89">
        <v>1</v>
      </c>
      <c r="X22" s="536">
        <v>1</v>
      </c>
      <c r="Y22" s="89">
        <v>1</v>
      </c>
      <c r="Z22" s="536">
        <v>1</v>
      </c>
      <c r="AA22" s="89">
        <v>1</v>
      </c>
      <c r="AB22" s="536">
        <v>1</v>
      </c>
      <c r="AC22" s="537">
        <v>1</v>
      </c>
      <c r="AD22" s="391" t="s">
        <v>12</v>
      </c>
      <c r="AE22" s="538" t="s">
        <v>558</v>
      </c>
    </row>
    <row r="23" spans="1:31" ht="39.75" customHeight="1" x14ac:dyDescent="0.25">
      <c r="A23" s="526">
        <f t="shared" si="0"/>
        <v>10</v>
      </c>
      <c r="B23" s="527">
        <v>44378</v>
      </c>
      <c r="C23" s="528" t="s">
        <v>12</v>
      </c>
      <c r="D23" s="529" t="s">
        <v>129</v>
      </c>
      <c r="E23" s="528" t="s">
        <v>12</v>
      </c>
      <c r="F23" s="530" t="s">
        <v>12</v>
      </c>
      <c r="G23" s="528" t="s">
        <v>12</v>
      </c>
      <c r="H23" s="531" t="s">
        <v>12</v>
      </c>
      <c r="I23" s="228" t="s">
        <v>12</v>
      </c>
      <c r="J23" s="529" t="s">
        <v>129</v>
      </c>
      <c r="K23" s="532">
        <v>1</v>
      </c>
      <c r="L23" s="533">
        <v>1</v>
      </c>
      <c r="M23" s="532">
        <v>1</v>
      </c>
      <c r="N23" s="533">
        <v>1</v>
      </c>
      <c r="O23" s="532">
        <v>1</v>
      </c>
      <c r="P23" s="533">
        <v>1</v>
      </c>
      <c r="Q23" s="532">
        <v>1</v>
      </c>
      <c r="R23" s="533">
        <v>1</v>
      </c>
      <c r="S23" s="534">
        <v>1</v>
      </c>
      <c r="T23" s="535" t="s">
        <v>12</v>
      </c>
      <c r="U23" s="89">
        <v>1</v>
      </c>
      <c r="V23" s="536">
        <v>1</v>
      </c>
      <c r="W23" s="89">
        <v>1</v>
      </c>
      <c r="X23" s="536">
        <v>1</v>
      </c>
      <c r="Y23" s="89">
        <v>1</v>
      </c>
      <c r="Z23" s="536">
        <v>1</v>
      </c>
      <c r="AA23" s="89">
        <v>1</v>
      </c>
      <c r="AB23" s="536">
        <v>1</v>
      </c>
      <c r="AC23" s="537">
        <v>1</v>
      </c>
      <c r="AD23" s="391" t="s">
        <v>12</v>
      </c>
      <c r="AE23" s="538" t="s">
        <v>558</v>
      </c>
    </row>
    <row r="24" spans="1:31" ht="39.75" customHeight="1" x14ac:dyDescent="0.25">
      <c r="A24" s="526">
        <f t="shared" si="0"/>
        <v>11</v>
      </c>
      <c r="B24" s="527">
        <v>44409</v>
      </c>
      <c r="C24" s="528" t="s">
        <v>12</v>
      </c>
      <c r="D24" s="529" t="s">
        <v>129</v>
      </c>
      <c r="E24" s="528" t="s">
        <v>12</v>
      </c>
      <c r="F24" s="530" t="s">
        <v>12</v>
      </c>
      <c r="G24" s="528" t="s">
        <v>12</v>
      </c>
      <c r="H24" s="531" t="s">
        <v>12</v>
      </c>
      <c r="I24" s="228" t="s">
        <v>12</v>
      </c>
      <c r="J24" s="529" t="s">
        <v>129</v>
      </c>
      <c r="K24" s="532">
        <v>1</v>
      </c>
      <c r="L24" s="533">
        <v>1</v>
      </c>
      <c r="M24" s="532">
        <v>1</v>
      </c>
      <c r="N24" s="533">
        <v>1</v>
      </c>
      <c r="O24" s="532">
        <v>1</v>
      </c>
      <c r="P24" s="533">
        <v>1</v>
      </c>
      <c r="Q24" s="532">
        <v>1</v>
      </c>
      <c r="R24" s="533">
        <v>1</v>
      </c>
      <c r="S24" s="534">
        <v>1</v>
      </c>
      <c r="T24" s="535" t="s">
        <v>12</v>
      </c>
      <c r="U24" s="89">
        <v>1</v>
      </c>
      <c r="V24" s="536">
        <v>1</v>
      </c>
      <c r="W24" s="89">
        <v>1</v>
      </c>
      <c r="X24" s="536">
        <v>1</v>
      </c>
      <c r="Y24" s="89">
        <v>1</v>
      </c>
      <c r="Z24" s="536">
        <v>1</v>
      </c>
      <c r="AA24" s="89">
        <v>1</v>
      </c>
      <c r="AB24" s="536">
        <v>1</v>
      </c>
      <c r="AC24" s="537">
        <v>1</v>
      </c>
      <c r="AD24" s="391" t="s">
        <v>12</v>
      </c>
      <c r="AE24" s="538" t="s">
        <v>558</v>
      </c>
    </row>
    <row r="25" spans="1:31" ht="39.75" customHeight="1" x14ac:dyDescent="0.25">
      <c r="A25" s="526">
        <f t="shared" si="0"/>
        <v>12</v>
      </c>
      <c r="B25" s="527">
        <v>44440</v>
      </c>
      <c r="C25" s="528" t="s">
        <v>12</v>
      </c>
      <c r="D25" s="529" t="s">
        <v>230</v>
      </c>
      <c r="E25" s="528" t="s">
        <v>12</v>
      </c>
      <c r="F25" s="530" t="s">
        <v>12</v>
      </c>
      <c r="G25" s="528" t="s">
        <v>12</v>
      </c>
      <c r="H25" s="531" t="s">
        <v>12</v>
      </c>
      <c r="I25" s="228" t="s">
        <v>12</v>
      </c>
      <c r="J25" s="529" t="s">
        <v>230</v>
      </c>
      <c r="K25" s="532">
        <v>1</v>
      </c>
      <c r="L25" s="533">
        <v>1</v>
      </c>
      <c r="M25" s="532">
        <v>1</v>
      </c>
      <c r="N25" s="533">
        <v>1</v>
      </c>
      <c r="O25" s="532">
        <v>1</v>
      </c>
      <c r="P25" s="533">
        <v>1</v>
      </c>
      <c r="Q25" s="532">
        <v>1</v>
      </c>
      <c r="R25" s="533">
        <v>1</v>
      </c>
      <c r="S25" s="534">
        <v>1</v>
      </c>
      <c r="T25" s="535" t="s">
        <v>12</v>
      </c>
      <c r="U25" s="89">
        <v>1</v>
      </c>
      <c r="V25" s="536">
        <v>1</v>
      </c>
      <c r="W25" s="89">
        <v>1</v>
      </c>
      <c r="X25" s="536">
        <v>1</v>
      </c>
      <c r="Y25" s="89">
        <v>1</v>
      </c>
      <c r="Z25" s="536">
        <v>1</v>
      </c>
      <c r="AA25" s="89">
        <v>1</v>
      </c>
      <c r="AB25" s="536">
        <v>1</v>
      </c>
      <c r="AC25" s="537">
        <v>1</v>
      </c>
      <c r="AD25" s="391" t="s">
        <v>12</v>
      </c>
      <c r="AE25" s="538" t="s">
        <v>558</v>
      </c>
    </row>
    <row r="26" spans="1:31" ht="39.75" customHeight="1" x14ac:dyDescent="0.25">
      <c r="A26" s="526">
        <f t="shared" si="0"/>
        <v>13</v>
      </c>
      <c r="B26" s="527">
        <v>44105</v>
      </c>
      <c r="C26" s="528" t="s">
        <v>12</v>
      </c>
      <c r="D26" s="529" t="s">
        <v>129</v>
      </c>
      <c r="E26" s="528" t="s">
        <v>12</v>
      </c>
      <c r="F26" s="530" t="s">
        <v>12</v>
      </c>
      <c r="G26" s="528" t="s">
        <v>12</v>
      </c>
      <c r="H26" s="531" t="s">
        <v>12</v>
      </c>
      <c r="I26" s="228" t="s">
        <v>12</v>
      </c>
      <c r="J26" s="529" t="s">
        <v>129</v>
      </c>
      <c r="K26" s="532">
        <v>1</v>
      </c>
      <c r="L26" s="533">
        <v>1</v>
      </c>
      <c r="M26" s="532">
        <v>1</v>
      </c>
      <c r="N26" s="533">
        <v>1</v>
      </c>
      <c r="O26" s="532">
        <v>1</v>
      </c>
      <c r="P26" s="533">
        <v>1</v>
      </c>
      <c r="Q26" s="532">
        <v>1</v>
      </c>
      <c r="R26" s="533">
        <v>1</v>
      </c>
      <c r="S26" s="534">
        <v>1</v>
      </c>
      <c r="T26" s="535" t="s">
        <v>12</v>
      </c>
      <c r="U26" s="89">
        <v>1</v>
      </c>
      <c r="V26" s="536">
        <v>1</v>
      </c>
      <c r="W26" s="89">
        <v>1</v>
      </c>
      <c r="X26" s="536">
        <v>1</v>
      </c>
      <c r="Y26" s="89">
        <v>1</v>
      </c>
      <c r="Z26" s="536">
        <v>1</v>
      </c>
      <c r="AA26" s="89">
        <v>1</v>
      </c>
      <c r="AB26" s="536">
        <v>1</v>
      </c>
      <c r="AC26" s="537">
        <v>1</v>
      </c>
      <c r="AD26" s="391" t="s">
        <v>12</v>
      </c>
      <c r="AE26" s="538" t="s">
        <v>12</v>
      </c>
    </row>
    <row r="27" spans="1:31" ht="39.75" customHeight="1" x14ac:dyDescent="0.25">
      <c r="A27" s="526">
        <f t="shared" si="0"/>
        <v>14</v>
      </c>
      <c r="B27" s="527">
        <v>44136</v>
      </c>
      <c r="C27" s="528" t="s">
        <v>12</v>
      </c>
      <c r="D27" s="529" t="s">
        <v>230</v>
      </c>
      <c r="E27" s="528" t="s">
        <v>12</v>
      </c>
      <c r="F27" s="530" t="s">
        <v>12</v>
      </c>
      <c r="G27" s="528" t="s">
        <v>12</v>
      </c>
      <c r="H27" s="531" t="s">
        <v>12</v>
      </c>
      <c r="I27" s="228" t="s">
        <v>12</v>
      </c>
      <c r="J27" s="529" t="s">
        <v>230</v>
      </c>
      <c r="K27" s="532">
        <v>1</v>
      </c>
      <c r="L27" s="533">
        <v>1</v>
      </c>
      <c r="M27" s="532">
        <v>1</v>
      </c>
      <c r="N27" s="533">
        <v>1</v>
      </c>
      <c r="O27" s="532">
        <v>1</v>
      </c>
      <c r="P27" s="533">
        <v>1</v>
      </c>
      <c r="Q27" s="532">
        <v>1</v>
      </c>
      <c r="R27" s="533">
        <v>1</v>
      </c>
      <c r="S27" s="534">
        <v>1</v>
      </c>
      <c r="T27" s="535" t="s">
        <v>12</v>
      </c>
      <c r="U27" s="89">
        <v>1</v>
      </c>
      <c r="V27" s="536">
        <v>1</v>
      </c>
      <c r="W27" s="89">
        <v>1</v>
      </c>
      <c r="X27" s="536">
        <v>1</v>
      </c>
      <c r="Y27" s="89">
        <v>1</v>
      </c>
      <c r="Z27" s="536">
        <v>1</v>
      </c>
      <c r="AA27" s="89">
        <v>1</v>
      </c>
      <c r="AB27" s="536">
        <v>1</v>
      </c>
      <c r="AC27" s="537">
        <v>1</v>
      </c>
      <c r="AD27" s="391" t="s">
        <v>12</v>
      </c>
      <c r="AE27" s="538" t="s">
        <v>12</v>
      </c>
    </row>
    <row r="28" spans="1:31" ht="39.75" customHeight="1" x14ac:dyDescent="0.25">
      <c r="A28" s="526">
        <f t="shared" si="0"/>
        <v>15</v>
      </c>
      <c r="B28" s="527">
        <v>44166</v>
      </c>
      <c r="C28" s="528" t="s">
        <v>12</v>
      </c>
      <c r="D28" s="529" t="s">
        <v>129</v>
      </c>
      <c r="E28" s="528" t="s">
        <v>12</v>
      </c>
      <c r="F28" s="530" t="s">
        <v>12</v>
      </c>
      <c r="G28" s="528" t="s">
        <v>12</v>
      </c>
      <c r="H28" s="531" t="s">
        <v>12</v>
      </c>
      <c r="I28" s="228" t="s">
        <v>12</v>
      </c>
      <c r="J28" s="529" t="s">
        <v>129</v>
      </c>
      <c r="K28" s="532">
        <v>1</v>
      </c>
      <c r="L28" s="533">
        <v>1</v>
      </c>
      <c r="M28" s="532">
        <v>1</v>
      </c>
      <c r="N28" s="533">
        <v>1</v>
      </c>
      <c r="O28" s="532">
        <v>1</v>
      </c>
      <c r="P28" s="533">
        <v>1</v>
      </c>
      <c r="Q28" s="532">
        <v>1</v>
      </c>
      <c r="R28" s="533">
        <v>1</v>
      </c>
      <c r="S28" s="534">
        <v>1</v>
      </c>
      <c r="T28" s="535" t="s">
        <v>12</v>
      </c>
      <c r="U28" s="89">
        <v>1</v>
      </c>
      <c r="V28" s="536">
        <v>1</v>
      </c>
      <c r="W28" s="89">
        <v>1</v>
      </c>
      <c r="X28" s="536">
        <v>1</v>
      </c>
      <c r="Y28" s="89">
        <v>1</v>
      </c>
      <c r="Z28" s="536">
        <v>1</v>
      </c>
      <c r="AA28" s="89">
        <v>1</v>
      </c>
      <c r="AB28" s="536">
        <v>1</v>
      </c>
      <c r="AC28" s="537">
        <v>1</v>
      </c>
      <c r="AD28" s="391" t="s">
        <v>12</v>
      </c>
      <c r="AE28" s="538" t="s">
        <v>558</v>
      </c>
    </row>
    <row r="29" spans="1:31" ht="39.75" customHeight="1" x14ac:dyDescent="0.25">
      <c r="A29" s="526">
        <f t="shared" si="0"/>
        <v>16</v>
      </c>
      <c r="B29" s="527">
        <v>44197</v>
      </c>
      <c r="C29" s="528" t="s">
        <v>12</v>
      </c>
      <c r="D29" s="529" t="s">
        <v>230</v>
      </c>
      <c r="E29" s="528" t="s">
        <v>12</v>
      </c>
      <c r="F29" s="530" t="s">
        <v>12</v>
      </c>
      <c r="G29" s="528" t="s">
        <v>12</v>
      </c>
      <c r="H29" s="531" t="s">
        <v>12</v>
      </c>
      <c r="I29" s="228" t="s">
        <v>12</v>
      </c>
      <c r="J29" s="529" t="s">
        <v>230</v>
      </c>
      <c r="K29" s="532">
        <v>1</v>
      </c>
      <c r="L29" s="533">
        <v>1</v>
      </c>
      <c r="M29" s="532">
        <v>1</v>
      </c>
      <c r="N29" s="533">
        <v>1</v>
      </c>
      <c r="O29" s="532">
        <v>1</v>
      </c>
      <c r="P29" s="533">
        <v>1</v>
      </c>
      <c r="Q29" s="532">
        <v>1</v>
      </c>
      <c r="R29" s="533">
        <v>1</v>
      </c>
      <c r="S29" s="534">
        <v>1</v>
      </c>
      <c r="T29" s="535" t="s">
        <v>12</v>
      </c>
      <c r="U29" s="89">
        <v>1</v>
      </c>
      <c r="V29" s="536">
        <v>1</v>
      </c>
      <c r="W29" s="89">
        <v>1</v>
      </c>
      <c r="X29" s="536">
        <v>1</v>
      </c>
      <c r="Y29" s="89">
        <v>1</v>
      </c>
      <c r="Z29" s="536">
        <v>1</v>
      </c>
      <c r="AA29" s="89">
        <v>1</v>
      </c>
      <c r="AB29" s="536">
        <v>1</v>
      </c>
      <c r="AC29" s="537">
        <v>1</v>
      </c>
      <c r="AD29" s="391" t="s">
        <v>12</v>
      </c>
      <c r="AE29" s="538" t="s">
        <v>558</v>
      </c>
    </row>
    <row r="30" spans="1:31" ht="39.75" customHeight="1" x14ac:dyDescent="0.25">
      <c r="A30" s="526">
        <f t="shared" si="0"/>
        <v>17</v>
      </c>
      <c r="B30" s="527">
        <v>44228</v>
      </c>
      <c r="C30" s="528" t="s">
        <v>12</v>
      </c>
      <c r="D30" s="529" t="s">
        <v>129</v>
      </c>
      <c r="E30" s="528" t="s">
        <v>12</v>
      </c>
      <c r="F30" s="530" t="s">
        <v>12</v>
      </c>
      <c r="G30" s="528" t="s">
        <v>12</v>
      </c>
      <c r="H30" s="531" t="s">
        <v>12</v>
      </c>
      <c r="I30" s="228" t="s">
        <v>12</v>
      </c>
      <c r="J30" s="529" t="s">
        <v>129</v>
      </c>
      <c r="K30" s="532">
        <v>1</v>
      </c>
      <c r="L30" s="533">
        <v>1</v>
      </c>
      <c r="M30" s="532">
        <v>1</v>
      </c>
      <c r="N30" s="533">
        <v>1</v>
      </c>
      <c r="O30" s="532">
        <v>1</v>
      </c>
      <c r="P30" s="533">
        <v>1</v>
      </c>
      <c r="Q30" s="532">
        <v>1</v>
      </c>
      <c r="R30" s="533">
        <v>1</v>
      </c>
      <c r="S30" s="534">
        <v>1</v>
      </c>
      <c r="T30" s="535" t="s">
        <v>12</v>
      </c>
      <c r="U30" s="89">
        <v>1</v>
      </c>
      <c r="V30" s="536">
        <v>1</v>
      </c>
      <c r="W30" s="89">
        <v>1</v>
      </c>
      <c r="X30" s="536">
        <v>1</v>
      </c>
      <c r="Y30" s="89">
        <v>1</v>
      </c>
      <c r="Z30" s="536">
        <v>1</v>
      </c>
      <c r="AA30" s="89">
        <v>1</v>
      </c>
      <c r="AB30" s="536">
        <v>1</v>
      </c>
      <c r="AC30" s="537">
        <v>1</v>
      </c>
      <c r="AD30" s="391" t="s">
        <v>12</v>
      </c>
      <c r="AE30" s="538" t="s">
        <v>558</v>
      </c>
    </row>
    <row r="31" spans="1:31" ht="39.75" customHeight="1" x14ac:dyDescent="0.25">
      <c r="A31" s="526">
        <f t="shared" si="0"/>
        <v>18</v>
      </c>
      <c r="B31" s="527">
        <v>44256</v>
      </c>
      <c r="C31" s="528" t="s">
        <v>12</v>
      </c>
      <c r="D31" s="529" t="s">
        <v>129</v>
      </c>
      <c r="E31" s="528" t="s">
        <v>12</v>
      </c>
      <c r="F31" s="530" t="s">
        <v>12</v>
      </c>
      <c r="G31" s="528" t="s">
        <v>12</v>
      </c>
      <c r="H31" s="531" t="s">
        <v>12</v>
      </c>
      <c r="I31" s="228" t="s">
        <v>12</v>
      </c>
      <c r="J31" s="529" t="s">
        <v>129</v>
      </c>
      <c r="K31" s="532">
        <v>1</v>
      </c>
      <c r="L31" s="533">
        <v>1</v>
      </c>
      <c r="M31" s="532">
        <v>1</v>
      </c>
      <c r="N31" s="533">
        <v>1</v>
      </c>
      <c r="O31" s="532">
        <v>1</v>
      </c>
      <c r="P31" s="533">
        <v>1</v>
      </c>
      <c r="Q31" s="532">
        <v>1</v>
      </c>
      <c r="R31" s="533">
        <v>1</v>
      </c>
      <c r="S31" s="534">
        <v>1</v>
      </c>
      <c r="T31" s="535" t="s">
        <v>12</v>
      </c>
      <c r="U31" s="89">
        <v>1</v>
      </c>
      <c r="V31" s="536">
        <v>1</v>
      </c>
      <c r="W31" s="89">
        <v>1</v>
      </c>
      <c r="X31" s="536">
        <v>1</v>
      </c>
      <c r="Y31" s="89">
        <v>1</v>
      </c>
      <c r="Z31" s="536">
        <v>1</v>
      </c>
      <c r="AA31" s="89">
        <v>1</v>
      </c>
      <c r="AB31" s="536">
        <v>1</v>
      </c>
      <c r="AC31" s="537">
        <v>1</v>
      </c>
      <c r="AD31" s="391" t="s">
        <v>12</v>
      </c>
      <c r="AE31" s="538" t="s">
        <v>558</v>
      </c>
    </row>
    <row r="32" spans="1:31" ht="39.75" customHeight="1" x14ac:dyDescent="0.25">
      <c r="A32" s="526">
        <f t="shared" si="0"/>
        <v>19</v>
      </c>
      <c r="B32" s="527">
        <v>44287</v>
      </c>
      <c r="C32" s="528" t="s">
        <v>12</v>
      </c>
      <c r="D32" s="529" t="s">
        <v>230</v>
      </c>
      <c r="E32" s="528" t="s">
        <v>12</v>
      </c>
      <c r="F32" s="530" t="s">
        <v>12</v>
      </c>
      <c r="G32" s="528" t="s">
        <v>12</v>
      </c>
      <c r="H32" s="531" t="s">
        <v>12</v>
      </c>
      <c r="I32" s="228" t="s">
        <v>12</v>
      </c>
      <c r="J32" s="529" t="s">
        <v>230</v>
      </c>
      <c r="K32" s="532">
        <v>1</v>
      </c>
      <c r="L32" s="533">
        <v>1</v>
      </c>
      <c r="M32" s="532">
        <v>1</v>
      </c>
      <c r="N32" s="533">
        <v>1</v>
      </c>
      <c r="O32" s="532">
        <v>1</v>
      </c>
      <c r="P32" s="533">
        <v>1</v>
      </c>
      <c r="Q32" s="532">
        <v>1</v>
      </c>
      <c r="R32" s="533">
        <v>1</v>
      </c>
      <c r="S32" s="534">
        <v>1</v>
      </c>
      <c r="T32" s="535" t="s">
        <v>12</v>
      </c>
      <c r="U32" s="89">
        <v>1</v>
      </c>
      <c r="V32" s="536">
        <v>1</v>
      </c>
      <c r="W32" s="89">
        <v>1</v>
      </c>
      <c r="X32" s="536">
        <v>1</v>
      </c>
      <c r="Y32" s="89">
        <v>1</v>
      </c>
      <c r="Z32" s="536">
        <v>1</v>
      </c>
      <c r="AA32" s="89">
        <v>1</v>
      </c>
      <c r="AB32" s="536">
        <v>1</v>
      </c>
      <c r="AC32" s="537">
        <v>1</v>
      </c>
      <c r="AD32" s="391" t="s">
        <v>12</v>
      </c>
      <c r="AE32" s="538" t="s">
        <v>558</v>
      </c>
    </row>
    <row r="33" spans="1:31" ht="39.75" customHeight="1" x14ac:dyDescent="0.25">
      <c r="A33" s="526">
        <f t="shared" si="0"/>
        <v>20</v>
      </c>
      <c r="B33" s="527">
        <v>44317</v>
      </c>
      <c r="C33" s="528" t="s">
        <v>12</v>
      </c>
      <c r="D33" s="529" t="s">
        <v>129</v>
      </c>
      <c r="E33" s="528" t="s">
        <v>12</v>
      </c>
      <c r="F33" s="530" t="s">
        <v>12</v>
      </c>
      <c r="G33" s="528" t="s">
        <v>12</v>
      </c>
      <c r="H33" s="531" t="s">
        <v>12</v>
      </c>
      <c r="I33" s="228" t="s">
        <v>12</v>
      </c>
      <c r="J33" s="529" t="s">
        <v>129</v>
      </c>
      <c r="K33" s="532">
        <v>1</v>
      </c>
      <c r="L33" s="533">
        <v>1</v>
      </c>
      <c r="M33" s="532">
        <v>1</v>
      </c>
      <c r="N33" s="533">
        <v>1</v>
      </c>
      <c r="O33" s="532">
        <v>1</v>
      </c>
      <c r="P33" s="533">
        <v>1</v>
      </c>
      <c r="Q33" s="532">
        <v>1</v>
      </c>
      <c r="R33" s="533">
        <v>1</v>
      </c>
      <c r="S33" s="534">
        <v>1</v>
      </c>
      <c r="T33" s="535" t="s">
        <v>12</v>
      </c>
      <c r="U33" s="89">
        <v>1</v>
      </c>
      <c r="V33" s="536">
        <v>1</v>
      </c>
      <c r="W33" s="89">
        <v>1</v>
      </c>
      <c r="X33" s="536">
        <v>1</v>
      </c>
      <c r="Y33" s="89">
        <v>1</v>
      </c>
      <c r="Z33" s="536">
        <v>1</v>
      </c>
      <c r="AA33" s="89">
        <v>1</v>
      </c>
      <c r="AB33" s="536">
        <v>1</v>
      </c>
      <c r="AC33" s="537">
        <v>1</v>
      </c>
      <c r="AD33" s="391" t="s">
        <v>12</v>
      </c>
      <c r="AE33" s="538" t="s">
        <v>12</v>
      </c>
    </row>
    <row r="34" spans="1:31" ht="39.75" customHeight="1" x14ac:dyDescent="0.25">
      <c r="A34" s="526">
        <f t="shared" si="0"/>
        <v>21</v>
      </c>
      <c r="B34" s="527">
        <v>44348</v>
      </c>
      <c r="C34" s="528" t="s">
        <v>12</v>
      </c>
      <c r="D34" s="529" t="s">
        <v>129</v>
      </c>
      <c r="E34" s="528" t="s">
        <v>12</v>
      </c>
      <c r="F34" s="530" t="s">
        <v>12</v>
      </c>
      <c r="G34" s="528" t="s">
        <v>12</v>
      </c>
      <c r="H34" s="531" t="s">
        <v>12</v>
      </c>
      <c r="I34" s="228" t="s">
        <v>12</v>
      </c>
      <c r="J34" s="529" t="s">
        <v>129</v>
      </c>
      <c r="K34" s="532">
        <v>1</v>
      </c>
      <c r="L34" s="533">
        <v>1</v>
      </c>
      <c r="M34" s="532">
        <v>1</v>
      </c>
      <c r="N34" s="533">
        <v>1</v>
      </c>
      <c r="O34" s="532">
        <v>1</v>
      </c>
      <c r="P34" s="533">
        <v>1</v>
      </c>
      <c r="Q34" s="532">
        <v>1</v>
      </c>
      <c r="R34" s="533">
        <v>1</v>
      </c>
      <c r="S34" s="534">
        <v>1</v>
      </c>
      <c r="T34" s="535" t="s">
        <v>12</v>
      </c>
      <c r="U34" s="89">
        <v>1</v>
      </c>
      <c r="V34" s="536">
        <v>1</v>
      </c>
      <c r="W34" s="89">
        <v>1</v>
      </c>
      <c r="X34" s="536">
        <v>1</v>
      </c>
      <c r="Y34" s="89">
        <v>1</v>
      </c>
      <c r="Z34" s="536">
        <v>1</v>
      </c>
      <c r="AA34" s="89">
        <v>1</v>
      </c>
      <c r="AB34" s="536">
        <v>1</v>
      </c>
      <c r="AC34" s="537">
        <v>1</v>
      </c>
      <c r="AD34" s="391" t="s">
        <v>12</v>
      </c>
      <c r="AE34" s="538" t="s">
        <v>12</v>
      </c>
    </row>
    <row r="35" spans="1:31" ht="39.75" customHeight="1" x14ac:dyDescent="0.25">
      <c r="A35" s="526">
        <f t="shared" si="0"/>
        <v>22</v>
      </c>
      <c r="B35" s="527">
        <v>44378</v>
      </c>
      <c r="C35" s="528" t="s">
        <v>12</v>
      </c>
      <c r="D35" s="529" t="s">
        <v>230</v>
      </c>
      <c r="E35" s="528" t="s">
        <v>12</v>
      </c>
      <c r="F35" s="530" t="s">
        <v>12</v>
      </c>
      <c r="G35" s="528" t="s">
        <v>12</v>
      </c>
      <c r="H35" s="531" t="s">
        <v>12</v>
      </c>
      <c r="I35" s="228" t="s">
        <v>12</v>
      </c>
      <c r="J35" s="529" t="s">
        <v>230</v>
      </c>
      <c r="K35" s="532">
        <v>1</v>
      </c>
      <c r="L35" s="533">
        <v>1</v>
      </c>
      <c r="M35" s="532">
        <v>1</v>
      </c>
      <c r="N35" s="533">
        <v>1</v>
      </c>
      <c r="O35" s="532">
        <v>1</v>
      </c>
      <c r="P35" s="533">
        <v>1</v>
      </c>
      <c r="Q35" s="532">
        <v>1</v>
      </c>
      <c r="R35" s="533">
        <v>1</v>
      </c>
      <c r="S35" s="534">
        <v>1</v>
      </c>
      <c r="T35" s="535" t="s">
        <v>12</v>
      </c>
      <c r="U35" s="89">
        <v>1</v>
      </c>
      <c r="V35" s="536">
        <v>1</v>
      </c>
      <c r="W35" s="89">
        <v>1</v>
      </c>
      <c r="X35" s="536">
        <v>1</v>
      </c>
      <c r="Y35" s="89">
        <v>1</v>
      </c>
      <c r="Z35" s="536">
        <v>1</v>
      </c>
      <c r="AA35" s="89">
        <v>1</v>
      </c>
      <c r="AB35" s="536">
        <v>1</v>
      </c>
      <c r="AC35" s="537">
        <v>1</v>
      </c>
      <c r="AD35" s="391" t="s">
        <v>12</v>
      </c>
      <c r="AE35" s="538" t="s">
        <v>558</v>
      </c>
    </row>
    <row r="36" spans="1:31" ht="39.75" customHeight="1" x14ac:dyDescent="0.25">
      <c r="A36" s="526">
        <f t="shared" si="0"/>
        <v>23</v>
      </c>
      <c r="B36" s="527">
        <v>44409</v>
      </c>
      <c r="C36" s="528" t="s">
        <v>12</v>
      </c>
      <c r="D36" s="529" t="s">
        <v>129</v>
      </c>
      <c r="E36" s="528" t="s">
        <v>12</v>
      </c>
      <c r="F36" s="530" t="s">
        <v>12</v>
      </c>
      <c r="G36" s="528" t="s">
        <v>12</v>
      </c>
      <c r="H36" s="531" t="s">
        <v>12</v>
      </c>
      <c r="I36" s="228" t="s">
        <v>12</v>
      </c>
      <c r="J36" s="529" t="s">
        <v>129</v>
      </c>
      <c r="K36" s="532">
        <v>1</v>
      </c>
      <c r="L36" s="533">
        <v>1</v>
      </c>
      <c r="M36" s="532">
        <v>1</v>
      </c>
      <c r="N36" s="533">
        <v>1</v>
      </c>
      <c r="O36" s="532">
        <v>1</v>
      </c>
      <c r="P36" s="533">
        <v>1</v>
      </c>
      <c r="Q36" s="532">
        <v>1</v>
      </c>
      <c r="R36" s="533">
        <v>1</v>
      </c>
      <c r="S36" s="534">
        <v>1</v>
      </c>
      <c r="T36" s="535" t="s">
        <v>12</v>
      </c>
      <c r="U36" s="89">
        <v>1</v>
      </c>
      <c r="V36" s="536">
        <v>1</v>
      </c>
      <c r="W36" s="89">
        <v>1</v>
      </c>
      <c r="X36" s="536">
        <v>1</v>
      </c>
      <c r="Y36" s="89">
        <v>1</v>
      </c>
      <c r="Z36" s="536">
        <v>1</v>
      </c>
      <c r="AA36" s="89">
        <v>1</v>
      </c>
      <c r="AB36" s="536">
        <v>1</v>
      </c>
      <c r="AC36" s="537">
        <v>1</v>
      </c>
      <c r="AD36" s="391" t="s">
        <v>12</v>
      </c>
      <c r="AE36" s="538" t="s">
        <v>558</v>
      </c>
    </row>
    <row r="37" spans="1:31" ht="39.75" customHeight="1" x14ac:dyDescent="0.25">
      <c r="A37" s="526">
        <f t="shared" si="0"/>
        <v>24</v>
      </c>
      <c r="B37" s="527">
        <v>44440</v>
      </c>
      <c r="C37" s="528" t="s">
        <v>12</v>
      </c>
      <c r="D37" s="529" t="s">
        <v>230</v>
      </c>
      <c r="E37" s="528" t="s">
        <v>12</v>
      </c>
      <c r="F37" s="530" t="s">
        <v>12</v>
      </c>
      <c r="G37" s="528" t="s">
        <v>12</v>
      </c>
      <c r="H37" s="531" t="s">
        <v>12</v>
      </c>
      <c r="I37" s="228" t="s">
        <v>12</v>
      </c>
      <c r="J37" s="529" t="s">
        <v>230</v>
      </c>
      <c r="K37" s="532">
        <v>1</v>
      </c>
      <c r="L37" s="533">
        <v>1</v>
      </c>
      <c r="M37" s="532">
        <v>1</v>
      </c>
      <c r="N37" s="533">
        <v>1</v>
      </c>
      <c r="O37" s="532">
        <v>1</v>
      </c>
      <c r="P37" s="533">
        <v>1</v>
      </c>
      <c r="Q37" s="532">
        <v>1</v>
      </c>
      <c r="R37" s="533">
        <v>1</v>
      </c>
      <c r="S37" s="534">
        <v>1</v>
      </c>
      <c r="T37" s="535" t="s">
        <v>12</v>
      </c>
      <c r="U37" s="89">
        <v>1</v>
      </c>
      <c r="V37" s="536">
        <v>1</v>
      </c>
      <c r="W37" s="89">
        <v>1</v>
      </c>
      <c r="X37" s="536">
        <v>1</v>
      </c>
      <c r="Y37" s="89">
        <v>1</v>
      </c>
      <c r="Z37" s="536">
        <v>1</v>
      </c>
      <c r="AA37" s="89">
        <v>1</v>
      </c>
      <c r="AB37" s="536">
        <v>1</v>
      </c>
      <c r="AC37" s="537">
        <v>1</v>
      </c>
      <c r="AD37" s="391" t="s">
        <v>12</v>
      </c>
      <c r="AE37" s="538" t="s">
        <v>558</v>
      </c>
    </row>
    <row r="38" spans="1:31" ht="39.75" customHeight="1" x14ac:dyDescent="0.25">
      <c r="A38" s="526">
        <f t="shared" si="0"/>
        <v>25</v>
      </c>
      <c r="B38" s="527">
        <v>44105</v>
      </c>
      <c r="C38" s="528" t="s">
        <v>12</v>
      </c>
      <c r="D38" s="529" t="s">
        <v>129</v>
      </c>
      <c r="E38" s="528" t="s">
        <v>12</v>
      </c>
      <c r="F38" s="530" t="s">
        <v>12</v>
      </c>
      <c r="G38" s="528" t="s">
        <v>12</v>
      </c>
      <c r="H38" s="531" t="s">
        <v>12</v>
      </c>
      <c r="I38" s="228" t="s">
        <v>12</v>
      </c>
      <c r="J38" s="529" t="s">
        <v>129</v>
      </c>
      <c r="K38" s="532">
        <v>1</v>
      </c>
      <c r="L38" s="533">
        <v>1</v>
      </c>
      <c r="M38" s="532">
        <v>1</v>
      </c>
      <c r="N38" s="533">
        <v>1</v>
      </c>
      <c r="O38" s="532">
        <v>1</v>
      </c>
      <c r="P38" s="533">
        <v>1</v>
      </c>
      <c r="Q38" s="532">
        <v>1</v>
      </c>
      <c r="R38" s="533">
        <v>1</v>
      </c>
      <c r="S38" s="534">
        <v>1</v>
      </c>
      <c r="T38" s="535" t="s">
        <v>12</v>
      </c>
      <c r="U38" s="89">
        <v>1</v>
      </c>
      <c r="V38" s="536">
        <v>1</v>
      </c>
      <c r="W38" s="89">
        <v>1</v>
      </c>
      <c r="X38" s="536">
        <v>1</v>
      </c>
      <c r="Y38" s="89">
        <v>1</v>
      </c>
      <c r="Z38" s="536">
        <v>1</v>
      </c>
      <c r="AA38" s="89">
        <v>1</v>
      </c>
      <c r="AB38" s="536">
        <v>1</v>
      </c>
      <c r="AC38" s="537">
        <v>1</v>
      </c>
      <c r="AD38" s="391" t="s">
        <v>12</v>
      </c>
      <c r="AE38" s="538" t="s">
        <v>558</v>
      </c>
    </row>
    <row r="39" spans="1:31" ht="39.75" customHeight="1" x14ac:dyDescent="0.25">
      <c r="A39" s="526">
        <f t="shared" si="0"/>
        <v>26</v>
      </c>
      <c r="B39" s="527">
        <v>44136</v>
      </c>
      <c r="C39" s="528" t="s">
        <v>12</v>
      </c>
      <c r="D39" s="529" t="s">
        <v>230</v>
      </c>
      <c r="E39" s="528" t="s">
        <v>12</v>
      </c>
      <c r="F39" s="530" t="s">
        <v>12</v>
      </c>
      <c r="G39" s="528" t="s">
        <v>12</v>
      </c>
      <c r="H39" s="531" t="s">
        <v>12</v>
      </c>
      <c r="I39" s="228" t="s">
        <v>12</v>
      </c>
      <c r="J39" s="529" t="s">
        <v>230</v>
      </c>
      <c r="K39" s="532">
        <v>1</v>
      </c>
      <c r="L39" s="533">
        <v>1</v>
      </c>
      <c r="M39" s="532">
        <v>1</v>
      </c>
      <c r="N39" s="533">
        <v>1</v>
      </c>
      <c r="O39" s="532">
        <v>1</v>
      </c>
      <c r="P39" s="533">
        <v>1</v>
      </c>
      <c r="Q39" s="532">
        <v>1</v>
      </c>
      <c r="R39" s="533">
        <v>1</v>
      </c>
      <c r="S39" s="534">
        <v>1</v>
      </c>
      <c r="T39" s="535" t="s">
        <v>12</v>
      </c>
      <c r="U39" s="89">
        <v>1</v>
      </c>
      <c r="V39" s="536">
        <v>1</v>
      </c>
      <c r="W39" s="89">
        <v>1</v>
      </c>
      <c r="X39" s="536">
        <v>1</v>
      </c>
      <c r="Y39" s="89">
        <v>1</v>
      </c>
      <c r="Z39" s="536">
        <v>1</v>
      </c>
      <c r="AA39" s="89">
        <v>1</v>
      </c>
      <c r="AB39" s="536">
        <v>1</v>
      </c>
      <c r="AC39" s="537">
        <v>1</v>
      </c>
      <c r="AD39" s="391" t="s">
        <v>12</v>
      </c>
      <c r="AE39" s="538" t="s">
        <v>558</v>
      </c>
    </row>
    <row r="40" spans="1:31" ht="39.75" customHeight="1" x14ac:dyDescent="0.25">
      <c r="A40" s="526">
        <f t="shared" si="0"/>
        <v>27</v>
      </c>
      <c r="B40" s="527">
        <v>44166</v>
      </c>
      <c r="C40" s="528" t="s">
        <v>12</v>
      </c>
      <c r="D40" s="529" t="s">
        <v>129</v>
      </c>
      <c r="E40" s="528" t="s">
        <v>12</v>
      </c>
      <c r="F40" s="530" t="s">
        <v>12</v>
      </c>
      <c r="G40" s="528" t="s">
        <v>12</v>
      </c>
      <c r="H40" s="531" t="s">
        <v>12</v>
      </c>
      <c r="I40" s="228" t="s">
        <v>12</v>
      </c>
      <c r="J40" s="529" t="s">
        <v>129</v>
      </c>
      <c r="K40" s="532">
        <v>1</v>
      </c>
      <c r="L40" s="533">
        <v>1</v>
      </c>
      <c r="M40" s="532">
        <v>1</v>
      </c>
      <c r="N40" s="533">
        <v>1</v>
      </c>
      <c r="O40" s="532">
        <v>1</v>
      </c>
      <c r="P40" s="533">
        <v>1</v>
      </c>
      <c r="Q40" s="532">
        <v>1</v>
      </c>
      <c r="R40" s="533">
        <v>1</v>
      </c>
      <c r="S40" s="534">
        <v>1</v>
      </c>
      <c r="T40" s="535" t="s">
        <v>12</v>
      </c>
      <c r="U40" s="89">
        <v>1</v>
      </c>
      <c r="V40" s="536">
        <v>1</v>
      </c>
      <c r="W40" s="89">
        <v>1</v>
      </c>
      <c r="X40" s="536">
        <v>1</v>
      </c>
      <c r="Y40" s="89">
        <v>1</v>
      </c>
      <c r="Z40" s="536">
        <v>1</v>
      </c>
      <c r="AA40" s="89">
        <v>1</v>
      </c>
      <c r="AB40" s="536">
        <v>1</v>
      </c>
      <c r="AC40" s="537">
        <v>1</v>
      </c>
      <c r="AD40" s="391" t="s">
        <v>12</v>
      </c>
      <c r="AE40" s="538" t="s">
        <v>12</v>
      </c>
    </row>
    <row r="41" spans="1:31" ht="39.75" customHeight="1" x14ac:dyDescent="0.25">
      <c r="A41" s="526">
        <f t="shared" si="0"/>
        <v>28</v>
      </c>
      <c r="B41" s="527">
        <v>44197</v>
      </c>
      <c r="C41" s="528" t="s">
        <v>12</v>
      </c>
      <c r="D41" s="529" t="s">
        <v>129</v>
      </c>
      <c r="E41" s="528" t="s">
        <v>12</v>
      </c>
      <c r="F41" s="530" t="s">
        <v>12</v>
      </c>
      <c r="G41" s="528" t="s">
        <v>12</v>
      </c>
      <c r="H41" s="531" t="s">
        <v>12</v>
      </c>
      <c r="I41" s="228" t="s">
        <v>12</v>
      </c>
      <c r="J41" s="529" t="s">
        <v>129</v>
      </c>
      <c r="K41" s="532">
        <v>1</v>
      </c>
      <c r="L41" s="533">
        <v>1</v>
      </c>
      <c r="M41" s="532">
        <v>1</v>
      </c>
      <c r="N41" s="533">
        <v>1</v>
      </c>
      <c r="O41" s="532">
        <v>1</v>
      </c>
      <c r="P41" s="533">
        <v>1</v>
      </c>
      <c r="Q41" s="532">
        <v>1</v>
      </c>
      <c r="R41" s="533">
        <v>1</v>
      </c>
      <c r="S41" s="534">
        <v>1</v>
      </c>
      <c r="T41" s="535" t="s">
        <v>12</v>
      </c>
      <c r="U41" s="89">
        <v>1</v>
      </c>
      <c r="V41" s="536">
        <v>1</v>
      </c>
      <c r="W41" s="89">
        <v>1</v>
      </c>
      <c r="X41" s="536">
        <v>1</v>
      </c>
      <c r="Y41" s="89">
        <v>1</v>
      </c>
      <c r="Z41" s="536">
        <v>1</v>
      </c>
      <c r="AA41" s="89">
        <v>1</v>
      </c>
      <c r="AB41" s="536">
        <v>1</v>
      </c>
      <c r="AC41" s="537">
        <v>1</v>
      </c>
      <c r="AD41" s="391" t="s">
        <v>12</v>
      </c>
      <c r="AE41" s="538" t="s">
        <v>12</v>
      </c>
    </row>
    <row r="42" spans="1:31" ht="39.75" customHeight="1" x14ac:dyDescent="0.25">
      <c r="A42" s="526">
        <f t="shared" si="0"/>
        <v>29</v>
      </c>
      <c r="B42" s="527">
        <v>44228</v>
      </c>
      <c r="C42" s="528" t="s">
        <v>12</v>
      </c>
      <c r="D42" s="529" t="s">
        <v>230</v>
      </c>
      <c r="E42" s="528" t="s">
        <v>12</v>
      </c>
      <c r="F42" s="530" t="s">
        <v>12</v>
      </c>
      <c r="G42" s="528" t="s">
        <v>12</v>
      </c>
      <c r="H42" s="531" t="s">
        <v>12</v>
      </c>
      <c r="I42" s="228" t="s">
        <v>12</v>
      </c>
      <c r="J42" s="529" t="s">
        <v>230</v>
      </c>
      <c r="K42" s="532">
        <v>1</v>
      </c>
      <c r="L42" s="533">
        <v>1</v>
      </c>
      <c r="M42" s="532">
        <v>1</v>
      </c>
      <c r="N42" s="533">
        <v>1</v>
      </c>
      <c r="O42" s="532">
        <v>1</v>
      </c>
      <c r="P42" s="533">
        <v>1</v>
      </c>
      <c r="Q42" s="532">
        <v>1</v>
      </c>
      <c r="R42" s="533">
        <v>1</v>
      </c>
      <c r="S42" s="534">
        <v>1</v>
      </c>
      <c r="T42" s="535" t="s">
        <v>12</v>
      </c>
      <c r="U42" s="89">
        <v>1</v>
      </c>
      <c r="V42" s="536">
        <v>1</v>
      </c>
      <c r="W42" s="89">
        <v>1</v>
      </c>
      <c r="X42" s="536">
        <v>1</v>
      </c>
      <c r="Y42" s="89">
        <v>1</v>
      </c>
      <c r="Z42" s="536">
        <v>1</v>
      </c>
      <c r="AA42" s="89">
        <v>1</v>
      </c>
      <c r="AB42" s="536">
        <v>1</v>
      </c>
      <c r="AC42" s="537">
        <v>1</v>
      </c>
      <c r="AD42" s="391" t="s">
        <v>12</v>
      </c>
      <c r="AE42" s="538" t="s">
        <v>558</v>
      </c>
    </row>
    <row r="43" spans="1:31" ht="39.75" customHeight="1" x14ac:dyDescent="0.25">
      <c r="A43" s="526">
        <f t="shared" si="0"/>
        <v>30</v>
      </c>
      <c r="B43" s="527">
        <v>44256</v>
      </c>
      <c r="C43" s="528" t="s">
        <v>12</v>
      </c>
      <c r="D43" s="529" t="s">
        <v>129</v>
      </c>
      <c r="E43" s="528" t="s">
        <v>12</v>
      </c>
      <c r="F43" s="530" t="s">
        <v>12</v>
      </c>
      <c r="G43" s="528" t="s">
        <v>12</v>
      </c>
      <c r="H43" s="531" t="s">
        <v>12</v>
      </c>
      <c r="I43" s="228" t="s">
        <v>12</v>
      </c>
      <c r="J43" s="529" t="s">
        <v>129</v>
      </c>
      <c r="K43" s="532">
        <v>1</v>
      </c>
      <c r="L43" s="533">
        <v>1</v>
      </c>
      <c r="M43" s="532">
        <v>1</v>
      </c>
      <c r="N43" s="533">
        <v>1</v>
      </c>
      <c r="O43" s="532">
        <v>1</v>
      </c>
      <c r="P43" s="533">
        <v>1</v>
      </c>
      <c r="Q43" s="532">
        <v>1</v>
      </c>
      <c r="R43" s="533">
        <v>1</v>
      </c>
      <c r="S43" s="534">
        <v>1</v>
      </c>
      <c r="T43" s="535" t="s">
        <v>12</v>
      </c>
      <c r="U43" s="89">
        <v>1</v>
      </c>
      <c r="V43" s="536">
        <v>1</v>
      </c>
      <c r="W43" s="89">
        <v>1</v>
      </c>
      <c r="X43" s="536">
        <v>1</v>
      </c>
      <c r="Y43" s="89">
        <v>1</v>
      </c>
      <c r="Z43" s="536">
        <v>1</v>
      </c>
      <c r="AA43" s="89">
        <v>1</v>
      </c>
      <c r="AB43" s="536">
        <v>1</v>
      </c>
      <c r="AC43" s="537">
        <v>1</v>
      </c>
      <c r="AD43" s="391" t="s">
        <v>12</v>
      </c>
      <c r="AE43" s="538" t="s">
        <v>558</v>
      </c>
    </row>
    <row r="44" spans="1:31" ht="39.75" customHeight="1" x14ac:dyDescent="0.25">
      <c r="A44" s="526">
        <f t="shared" si="0"/>
        <v>31</v>
      </c>
      <c r="B44" s="527">
        <v>44287</v>
      </c>
      <c r="C44" s="528" t="s">
        <v>12</v>
      </c>
      <c r="D44" s="529" t="s">
        <v>129</v>
      </c>
      <c r="E44" s="528" t="s">
        <v>12</v>
      </c>
      <c r="F44" s="530" t="s">
        <v>12</v>
      </c>
      <c r="G44" s="528" t="s">
        <v>12</v>
      </c>
      <c r="H44" s="531" t="s">
        <v>12</v>
      </c>
      <c r="I44" s="228" t="s">
        <v>12</v>
      </c>
      <c r="J44" s="529" t="s">
        <v>129</v>
      </c>
      <c r="K44" s="532">
        <v>1</v>
      </c>
      <c r="L44" s="533">
        <v>1</v>
      </c>
      <c r="M44" s="532">
        <v>1</v>
      </c>
      <c r="N44" s="533">
        <v>1</v>
      </c>
      <c r="O44" s="532">
        <v>1</v>
      </c>
      <c r="P44" s="533">
        <v>1</v>
      </c>
      <c r="Q44" s="532">
        <v>1</v>
      </c>
      <c r="R44" s="533">
        <v>1</v>
      </c>
      <c r="S44" s="534">
        <v>1</v>
      </c>
      <c r="T44" s="535" t="s">
        <v>12</v>
      </c>
      <c r="U44" s="89">
        <v>1</v>
      </c>
      <c r="V44" s="536">
        <v>1</v>
      </c>
      <c r="W44" s="89">
        <v>1</v>
      </c>
      <c r="X44" s="536">
        <v>1</v>
      </c>
      <c r="Y44" s="89">
        <v>1</v>
      </c>
      <c r="Z44" s="536">
        <v>1</v>
      </c>
      <c r="AA44" s="89">
        <v>1</v>
      </c>
      <c r="AB44" s="536">
        <v>1</v>
      </c>
      <c r="AC44" s="537">
        <v>1</v>
      </c>
      <c r="AD44" s="391" t="s">
        <v>12</v>
      </c>
      <c r="AE44" s="538" t="s">
        <v>558</v>
      </c>
    </row>
    <row r="45" spans="1:31" ht="39.75" customHeight="1" x14ac:dyDescent="0.25">
      <c r="A45" s="526">
        <f t="shared" si="0"/>
        <v>32</v>
      </c>
      <c r="B45" s="527">
        <v>44317</v>
      </c>
      <c r="C45" s="528" t="s">
        <v>12</v>
      </c>
      <c r="D45" s="529" t="s">
        <v>230</v>
      </c>
      <c r="E45" s="528" t="s">
        <v>12</v>
      </c>
      <c r="F45" s="530" t="s">
        <v>12</v>
      </c>
      <c r="G45" s="528" t="s">
        <v>12</v>
      </c>
      <c r="H45" s="531" t="s">
        <v>12</v>
      </c>
      <c r="I45" s="228" t="s">
        <v>12</v>
      </c>
      <c r="J45" s="529" t="s">
        <v>230</v>
      </c>
      <c r="K45" s="532">
        <v>1</v>
      </c>
      <c r="L45" s="533">
        <v>1</v>
      </c>
      <c r="M45" s="532">
        <v>1</v>
      </c>
      <c r="N45" s="533">
        <v>1</v>
      </c>
      <c r="O45" s="532">
        <v>1</v>
      </c>
      <c r="P45" s="533">
        <v>1</v>
      </c>
      <c r="Q45" s="532">
        <v>1</v>
      </c>
      <c r="R45" s="533">
        <v>1</v>
      </c>
      <c r="S45" s="534">
        <v>1</v>
      </c>
      <c r="T45" s="535" t="s">
        <v>12</v>
      </c>
      <c r="U45" s="89">
        <v>1</v>
      </c>
      <c r="V45" s="536">
        <v>1</v>
      </c>
      <c r="W45" s="89">
        <v>1</v>
      </c>
      <c r="X45" s="536">
        <v>1</v>
      </c>
      <c r="Y45" s="89">
        <v>1</v>
      </c>
      <c r="Z45" s="536">
        <v>1</v>
      </c>
      <c r="AA45" s="89">
        <v>1</v>
      </c>
      <c r="AB45" s="536">
        <v>1</v>
      </c>
      <c r="AC45" s="537">
        <v>1</v>
      </c>
      <c r="AD45" s="391" t="s">
        <v>12</v>
      </c>
      <c r="AE45" s="538" t="s">
        <v>558</v>
      </c>
    </row>
    <row r="46" spans="1:31" ht="39.75" customHeight="1" x14ac:dyDescent="0.25">
      <c r="A46" s="526">
        <f t="shared" si="0"/>
        <v>33</v>
      </c>
      <c r="B46" s="527">
        <v>44348</v>
      </c>
      <c r="C46" s="528" t="s">
        <v>12</v>
      </c>
      <c r="D46" s="529" t="s">
        <v>129</v>
      </c>
      <c r="E46" s="528" t="s">
        <v>12</v>
      </c>
      <c r="F46" s="530" t="s">
        <v>12</v>
      </c>
      <c r="G46" s="528" t="s">
        <v>12</v>
      </c>
      <c r="H46" s="531" t="s">
        <v>12</v>
      </c>
      <c r="I46" s="228" t="s">
        <v>12</v>
      </c>
      <c r="J46" s="529" t="s">
        <v>129</v>
      </c>
      <c r="K46" s="532">
        <v>1</v>
      </c>
      <c r="L46" s="533">
        <v>1</v>
      </c>
      <c r="M46" s="532">
        <v>1</v>
      </c>
      <c r="N46" s="533">
        <v>1</v>
      </c>
      <c r="O46" s="532">
        <v>1</v>
      </c>
      <c r="P46" s="533">
        <v>1</v>
      </c>
      <c r="Q46" s="532">
        <v>1</v>
      </c>
      <c r="R46" s="533">
        <v>1</v>
      </c>
      <c r="S46" s="534">
        <v>1</v>
      </c>
      <c r="T46" s="535" t="s">
        <v>12</v>
      </c>
      <c r="U46" s="89">
        <v>1</v>
      </c>
      <c r="V46" s="536">
        <v>1</v>
      </c>
      <c r="W46" s="89">
        <v>1</v>
      </c>
      <c r="X46" s="536">
        <v>1</v>
      </c>
      <c r="Y46" s="89">
        <v>1</v>
      </c>
      <c r="Z46" s="536">
        <v>1</v>
      </c>
      <c r="AA46" s="89">
        <v>1</v>
      </c>
      <c r="AB46" s="536">
        <v>1</v>
      </c>
      <c r="AC46" s="537">
        <v>1</v>
      </c>
      <c r="AD46" s="391" t="s">
        <v>12</v>
      </c>
      <c r="AE46" s="538" t="s">
        <v>558</v>
      </c>
    </row>
    <row r="47" spans="1:31" ht="39.75" customHeight="1" x14ac:dyDescent="0.25">
      <c r="A47" s="526">
        <f t="shared" si="0"/>
        <v>34</v>
      </c>
      <c r="B47" s="527">
        <v>44378</v>
      </c>
      <c r="C47" s="528" t="s">
        <v>12</v>
      </c>
      <c r="D47" s="529" t="s">
        <v>230</v>
      </c>
      <c r="E47" s="528" t="s">
        <v>12</v>
      </c>
      <c r="F47" s="530" t="s">
        <v>12</v>
      </c>
      <c r="G47" s="528" t="s">
        <v>12</v>
      </c>
      <c r="H47" s="531" t="s">
        <v>12</v>
      </c>
      <c r="I47" s="228" t="s">
        <v>12</v>
      </c>
      <c r="J47" s="529" t="s">
        <v>230</v>
      </c>
      <c r="K47" s="532">
        <v>1</v>
      </c>
      <c r="L47" s="533">
        <v>1</v>
      </c>
      <c r="M47" s="532">
        <v>1</v>
      </c>
      <c r="N47" s="533">
        <v>1</v>
      </c>
      <c r="O47" s="532">
        <v>1</v>
      </c>
      <c r="P47" s="533">
        <v>1</v>
      </c>
      <c r="Q47" s="532">
        <v>1</v>
      </c>
      <c r="R47" s="533">
        <v>1</v>
      </c>
      <c r="S47" s="534">
        <v>1</v>
      </c>
      <c r="T47" s="535" t="s">
        <v>12</v>
      </c>
      <c r="U47" s="89">
        <v>1</v>
      </c>
      <c r="V47" s="536">
        <v>1</v>
      </c>
      <c r="W47" s="89">
        <v>1</v>
      </c>
      <c r="X47" s="536">
        <v>1</v>
      </c>
      <c r="Y47" s="89">
        <v>1</v>
      </c>
      <c r="Z47" s="536">
        <v>1</v>
      </c>
      <c r="AA47" s="89">
        <v>1</v>
      </c>
      <c r="AB47" s="536">
        <v>1</v>
      </c>
      <c r="AC47" s="537">
        <v>1</v>
      </c>
      <c r="AD47" s="391" t="s">
        <v>12</v>
      </c>
      <c r="AE47" s="538" t="s">
        <v>12</v>
      </c>
    </row>
    <row r="48" spans="1:31" ht="39.75" customHeight="1" x14ac:dyDescent="0.25">
      <c r="A48" s="526">
        <f t="shared" si="0"/>
        <v>35</v>
      </c>
      <c r="B48" s="527">
        <v>44409</v>
      </c>
      <c r="C48" s="528" t="s">
        <v>12</v>
      </c>
      <c r="D48" s="529" t="s">
        <v>129</v>
      </c>
      <c r="E48" s="528" t="s">
        <v>12</v>
      </c>
      <c r="F48" s="530" t="s">
        <v>12</v>
      </c>
      <c r="G48" s="528" t="s">
        <v>12</v>
      </c>
      <c r="H48" s="531" t="s">
        <v>12</v>
      </c>
      <c r="I48" s="228" t="s">
        <v>12</v>
      </c>
      <c r="J48" s="529" t="s">
        <v>129</v>
      </c>
      <c r="K48" s="532">
        <v>1</v>
      </c>
      <c r="L48" s="533">
        <v>1</v>
      </c>
      <c r="M48" s="532">
        <v>1</v>
      </c>
      <c r="N48" s="533">
        <v>1</v>
      </c>
      <c r="O48" s="532">
        <v>1</v>
      </c>
      <c r="P48" s="533">
        <v>1</v>
      </c>
      <c r="Q48" s="532">
        <v>1</v>
      </c>
      <c r="R48" s="533">
        <v>1</v>
      </c>
      <c r="S48" s="534">
        <v>1</v>
      </c>
      <c r="T48" s="535" t="s">
        <v>12</v>
      </c>
      <c r="U48" s="89">
        <v>1</v>
      </c>
      <c r="V48" s="536">
        <v>1</v>
      </c>
      <c r="W48" s="89">
        <v>1</v>
      </c>
      <c r="X48" s="536">
        <v>1</v>
      </c>
      <c r="Y48" s="89">
        <v>1</v>
      </c>
      <c r="Z48" s="536">
        <v>1</v>
      </c>
      <c r="AA48" s="89">
        <v>1</v>
      </c>
      <c r="AB48" s="536">
        <v>1</v>
      </c>
      <c r="AC48" s="537">
        <v>1</v>
      </c>
      <c r="AD48" s="391" t="s">
        <v>12</v>
      </c>
      <c r="AE48" s="538" t="s">
        <v>12</v>
      </c>
    </row>
    <row r="49" spans="1:31" ht="39.75" customHeight="1" x14ac:dyDescent="0.25">
      <c r="A49" s="526">
        <f t="shared" si="0"/>
        <v>36</v>
      </c>
      <c r="B49" s="527">
        <v>44440</v>
      </c>
      <c r="C49" s="528" t="s">
        <v>12</v>
      </c>
      <c r="D49" s="529" t="s">
        <v>230</v>
      </c>
      <c r="E49" s="528" t="s">
        <v>12</v>
      </c>
      <c r="F49" s="530" t="s">
        <v>12</v>
      </c>
      <c r="G49" s="528" t="s">
        <v>12</v>
      </c>
      <c r="H49" s="531" t="s">
        <v>12</v>
      </c>
      <c r="I49" s="228" t="s">
        <v>12</v>
      </c>
      <c r="J49" s="529" t="s">
        <v>230</v>
      </c>
      <c r="K49" s="532">
        <v>1</v>
      </c>
      <c r="L49" s="533">
        <v>1</v>
      </c>
      <c r="M49" s="532">
        <v>1</v>
      </c>
      <c r="N49" s="533">
        <v>1</v>
      </c>
      <c r="O49" s="532">
        <v>1</v>
      </c>
      <c r="P49" s="533">
        <v>1</v>
      </c>
      <c r="Q49" s="532">
        <v>1</v>
      </c>
      <c r="R49" s="533">
        <v>1</v>
      </c>
      <c r="S49" s="534">
        <v>1</v>
      </c>
      <c r="T49" s="535" t="s">
        <v>12</v>
      </c>
      <c r="U49" s="89">
        <v>1</v>
      </c>
      <c r="V49" s="536">
        <v>1</v>
      </c>
      <c r="W49" s="89">
        <v>1</v>
      </c>
      <c r="X49" s="536">
        <v>1</v>
      </c>
      <c r="Y49" s="89">
        <v>1</v>
      </c>
      <c r="Z49" s="536">
        <v>1</v>
      </c>
      <c r="AA49" s="89">
        <v>1</v>
      </c>
      <c r="AB49" s="536">
        <v>1</v>
      </c>
      <c r="AC49" s="537">
        <v>1</v>
      </c>
      <c r="AD49" s="391" t="s">
        <v>12</v>
      </c>
      <c r="AE49" s="538" t="s">
        <v>558</v>
      </c>
    </row>
    <row r="50" spans="1:31" ht="39.75" customHeight="1" x14ac:dyDescent="0.25">
      <c r="A50" s="526">
        <f t="shared" si="0"/>
        <v>37</v>
      </c>
      <c r="B50" s="527">
        <v>44105</v>
      </c>
      <c r="C50" s="528" t="s">
        <v>12</v>
      </c>
      <c r="D50" s="529" t="s">
        <v>129</v>
      </c>
      <c r="E50" s="528" t="s">
        <v>12</v>
      </c>
      <c r="F50" s="530" t="s">
        <v>12</v>
      </c>
      <c r="G50" s="528" t="s">
        <v>12</v>
      </c>
      <c r="H50" s="531" t="s">
        <v>12</v>
      </c>
      <c r="I50" s="228" t="s">
        <v>12</v>
      </c>
      <c r="J50" s="529" t="s">
        <v>129</v>
      </c>
      <c r="K50" s="532">
        <v>1</v>
      </c>
      <c r="L50" s="533">
        <v>1</v>
      </c>
      <c r="M50" s="532">
        <v>1</v>
      </c>
      <c r="N50" s="533">
        <v>1</v>
      </c>
      <c r="O50" s="532">
        <v>1</v>
      </c>
      <c r="P50" s="533">
        <v>1</v>
      </c>
      <c r="Q50" s="532">
        <v>1</v>
      </c>
      <c r="R50" s="533">
        <v>1</v>
      </c>
      <c r="S50" s="534">
        <v>1</v>
      </c>
      <c r="T50" s="535" t="s">
        <v>12</v>
      </c>
      <c r="U50" s="89">
        <v>1</v>
      </c>
      <c r="V50" s="536">
        <v>1</v>
      </c>
      <c r="W50" s="89">
        <v>1</v>
      </c>
      <c r="X50" s="536">
        <v>1</v>
      </c>
      <c r="Y50" s="89">
        <v>1</v>
      </c>
      <c r="Z50" s="536">
        <v>1</v>
      </c>
      <c r="AA50" s="89">
        <v>1</v>
      </c>
      <c r="AB50" s="536">
        <v>1</v>
      </c>
      <c r="AC50" s="537">
        <v>1</v>
      </c>
      <c r="AD50" s="391" t="s">
        <v>12</v>
      </c>
      <c r="AE50" s="538" t="s">
        <v>558</v>
      </c>
    </row>
    <row r="51" spans="1:31" ht="39.75" customHeight="1" x14ac:dyDescent="0.25">
      <c r="A51" s="526">
        <f t="shared" si="0"/>
        <v>38</v>
      </c>
      <c r="B51" s="527">
        <v>44136</v>
      </c>
      <c r="C51" s="528" t="s">
        <v>12</v>
      </c>
      <c r="D51" s="529" t="s">
        <v>129</v>
      </c>
      <c r="E51" s="528" t="s">
        <v>12</v>
      </c>
      <c r="F51" s="530" t="s">
        <v>12</v>
      </c>
      <c r="G51" s="528" t="s">
        <v>12</v>
      </c>
      <c r="H51" s="531" t="s">
        <v>12</v>
      </c>
      <c r="I51" s="228" t="s">
        <v>12</v>
      </c>
      <c r="J51" s="529" t="s">
        <v>129</v>
      </c>
      <c r="K51" s="532">
        <v>1</v>
      </c>
      <c r="L51" s="533">
        <v>1</v>
      </c>
      <c r="M51" s="532">
        <v>1</v>
      </c>
      <c r="N51" s="533">
        <v>1</v>
      </c>
      <c r="O51" s="532">
        <v>1</v>
      </c>
      <c r="P51" s="533">
        <v>1</v>
      </c>
      <c r="Q51" s="532">
        <v>1</v>
      </c>
      <c r="R51" s="533">
        <v>1</v>
      </c>
      <c r="S51" s="534">
        <v>1</v>
      </c>
      <c r="T51" s="535" t="s">
        <v>12</v>
      </c>
      <c r="U51" s="89">
        <v>1</v>
      </c>
      <c r="V51" s="536">
        <v>1</v>
      </c>
      <c r="W51" s="89">
        <v>1</v>
      </c>
      <c r="X51" s="536">
        <v>1</v>
      </c>
      <c r="Y51" s="89">
        <v>1</v>
      </c>
      <c r="Z51" s="536">
        <v>1</v>
      </c>
      <c r="AA51" s="89">
        <v>1</v>
      </c>
      <c r="AB51" s="536">
        <v>1</v>
      </c>
      <c r="AC51" s="537">
        <v>1</v>
      </c>
      <c r="AD51" s="391" t="s">
        <v>12</v>
      </c>
      <c r="AE51" s="538" t="s">
        <v>558</v>
      </c>
    </row>
    <row r="52" spans="1:31" ht="39.75" customHeight="1" x14ac:dyDescent="0.25">
      <c r="A52" s="526">
        <f t="shared" si="0"/>
        <v>39</v>
      </c>
      <c r="B52" s="527">
        <v>44166</v>
      </c>
      <c r="C52" s="528" t="s">
        <v>12</v>
      </c>
      <c r="D52" s="529" t="s">
        <v>230</v>
      </c>
      <c r="E52" s="528" t="s">
        <v>12</v>
      </c>
      <c r="F52" s="530" t="s">
        <v>12</v>
      </c>
      <c r="G52" s="528" t="s">
        <v>12</v>
      </c>
      <c r="H52" s="531" t="s">
        <v>12</v>
      </c>
      <c r="I52" s="228" t="s">
        <v>12</v>
      </c>
      <c r="J52" s="529" t="s">
        <v>230</v>
      </c>
      <c r="K52" s="532">
        <v>1</v>
      </c>
      <c r="L52" s="533">
        <v>1</v>
      </c>
      <c r="M52" s="532">
        <v>1</v>
      </c>
      <c r="N52" s="533">
        <v>1</v>
      </c>
      <c r="O52" s="532">
        <v>1</v>
      </c>
      <c r="P52" s="533">
        <v>1</v>
      </c>
      <c r="Q52" s="532">
        <v>1</v>
      </c>
      <c r="R52" s="533">
        <v>1</v>
      </c>
      <c r="S52" s="534">
        <v>1</v>
      </c>
      <c r="T52" s="535" t="s">
        <v>12</v>
      </c>
      <c r="U52" s="89">
        <v>1</v>
      </c>
      <c r="V52" s="536">
        <v>1</v>
      </c>
      <c r="W52" s="89">
        <v>1</v>
      </c>
      <c r="X52" s="536">
        <v>1</v>
      </c>
      <c r="Y52" s="89">
        <v>1</v>
      </c>
      <c r="Z52" s="536">
        <v>1</v>
      </c>
      <c r="AA52" s="89">
        <v>1</v>
      </c>
      <c r="AB52" s="536">
        <v>1</v>
      </c>
      <c r="AC52" s="537">
        <v>1</v>
      </c>
      <c r="AD52" s="391" t="s">
        <v>12</v>
      </c>
      <c r="AE52" s="538" t="s">
        <v>558</v>
      </c>
    </row>
    <row r="53" spans="1:31" ht="39.75" customHeight="1" x14ac:dyDescent="0.25">
      <c r="A53" s="526">
        <f t="shared" si="0"/>
        <v>40</v>
      </c>
      <c r="B53" s="527">
        <v>44197</v>
      </c>
      <c r="C53" s="528" t="s">
        <v>12</v>
      </c>
      <c r="D53" s="529" t="s">
        <v>129</v>
      </c>
      <c r="E53" s="528" t="s">
        <v>12</v>
      </c>
      <c r="F53" s="530" t="s">
        <v>12</v>
      </c>
      <c r="G53" s="528" t="s">
        <v>12</v>
      </c>
      <c r="H53" s="531" t="s">
        <v>12</v>
      </c>
      <c r="I53" s="228" t="s">
        <v>12</v>
      </c>
      <c r="J53" s="529" t="s">
        <v>129</v>
      </c>
      <c r="K53" s="532">
        <v>1</v>
      </c>
      <c r="L53" s="533">
        <v>1</v>
      </c>
      <c r="M53" s="532">
        <v>1</v>
      </c>
      <c r="N53" s="533">
        <v>1</v>
      </c>
      <c r="O53" s="532">
        <v>1</v>
      </c>
      <c r="P53" s="533">
        <v>1</v>
      </c>
      <c r="Q53" s="532">
        <v>1</v>
      </c>
      <c r="R53" s="533">
        <v>1</v>
      </c>
      <c r="S53" s="534">
        <v>1</v>
      </c>
      <c r="T53" s="535" t="s">
        <v>12</v>
      </c>
      <c r="U53" s="89">
        <v>1</v>
      </c>
      <c r="V53" s="536">
        <v>1</v>
      </c>
      <c r="W53" s="89">
        <v>1</v>
      </c>
      <c r="X53" s="536">
        <v>1</v>
      </c>
      <c r="Y53" s="89">
        <v>1</v>
      </c>
      <c r="Z53" s="536">
        <v>1</v>
      </c>
      <c r="AA53" s="89">
        <v>1</v>
      </c>
      <c r="AB53" s="536">
        <v>1</v>
      </c>
      <c r="AC53" s="537">
        <v>1</v>
      </c>
      <c r="AD53" s="391" t="s">
        <v>12</v>
      </c>
      <c r="AE53" s="538" t="s">
        <v>12</v>
      </c>
    </row>
    <row r="54" spans="1:31" ht="39.75" customHeight="1" x14ac:dyDescent="0.25">
      <c r="A54" s="526">
        <f t="shared" si="0"/>
        <v>41</v>
      </c>
      <c r="B54" s="527">
        <v>44228</v>
      </c>
      <c r="C54" s="528" t="s">
        <v>12</v>
      </c>
      <c r="D54" s="529" t="s">
        <v>129</v>
      </c>
      <c r="E54" s="528" t="s">
        <v>12</v>
      </c>
      <c r="F54" s="530" t="s">
        <v>12</v>
      </c>
      <c r="G54" s="528" t="s">
        <v>12</v>
      </c>
      <c r="H54" s="531" t="s">
        <v>12</v>
      </c>
      <c r="I54" s="228" t="s">
        <v>12</v>
      </c>
      <c r="J54" s="529" t="s">
        <v>129</v>
      </c>
      <c r="K54" s="532">
        <v>1</v>
      </c>
      <c r="L54" s="533">
        <v>1</v>
      </c>
      <c r="M54" s="532">
        <v>1</v>
      </c>
      <c r="N54" s="533">
        <v>1</v>
      </c>
      <c r="O54" s="532">
        <v>1</v>
      </c>
      <c r="P54" s="533">
        <v>1</v>
      </c>
      <c r="Q54" s="532">
        <v>1</v>
      </c>
      <c r="R54" s="533">
        <v>1</v>
      </c>
      <c r="S54" s="534">
        <v>1</v>
      </c>
      <c r="T54" s="535" t="s">
        <v>12</v>
      </c>
      <c r="U54" s="89">
        <v>1</v>
      </c>
      <c r="V54" s="536">
        <v>1</v>
      </c>
      <c r="W54" s="89">
        <v>1</v>
      </c>
      <c r="X54" s="536">
        <v>1</v>
      </c>
      <c r="Y54" s="89">
        <v>1</v>
      </c>
      <c r="Z54" s="536">
        <v>1</v>
      </c>
      <c r="AA54" s="89">
        <v>1</v>
      </c>
      <c r="AB54" s="536">
        <v>1</v>
      </c>
      <c r="AC54" s="537">
        <v>1</v>
      </c>
      <c r="AD54" s="391" t="s">
        <v>12</v>
      </c>
      <c r="AE54" s="538" t="s">
        <v>558</v>
      </c>
    </row>
    <row r="55" spans="1:31" ht="39.75" customHeight="1" x14ac:dyDescent="0.25">
      <c r="A55" s="526">
        <f t="shared" si="0"/>
        <v>42</v>
      </c>
      <c r="B55" s="527">
        <v>44256</v>
      </c>
      <c r="C55" s="528" t="s">
        <v>12</v>
      </c>
      <c r="D55" s="529" t="s">
        <v>230</v>
      </c>
      <c r="E55" s="528" t="s">
        <v>12</v>
      </c>
      <c r="F55" s="530" t="s">
        <v>12</v>
      </c>
      <c r="G55" s="528" t="s">
        <v>12</v>
      </c>
      <c r="H55" s="531" t="s">
        <v>12</v>
      </c>
      <c r="I55" s="228" t="s">
        <v>12</v>
      </c>
      <c r="J55" s="529" t="s">
        <v>230</v>
      </c>
      <c r="K55" s="532">
        <v>1</v>
      </c>
      <c r="L55" s="533">
        <v>1</v>
      </c>
      <c r="M55" s="532">
        <v>1</v>
      </c>
      <c r="N55" s="533">
        <v>1</v>
      </c>
      <c r="O55" s="532">
        <v>1</v>
      </c>
      <c r="P55" s="533">
        <v>1</v>
      </c>
      <c r="Q55" s="532">
        <v>1</v>
      </c>
      <c r="R55" s="533">
        <v>1</v>
      </c>
      <c r="S55" s="534">
        <v>1</v>
      </c>
      <c r="T55" s="535" t="s">
        <v>12</v>
      </c>
      <c r="U55" s="89">
        <v>1</v>
      </c>
      <c r="V55" s="536">
        <v>1</v>
      </c>
      <c r="W55" s="89">
        <v>1</v>
      </c>
      <c r="X55" s="536">
        <v>1</v>
      </c>
      <c r="Y55" s="89">
        <v>1</v>
      </c>
      <c r="Z55" s="536">
        <v>1</v>
      </c>
      <c r="AA55" s="89">
        <v>1</v>
      </c>
      <c r="AB55" s="536">
        <v>1</v>
      </c>
      <c r="AC55" s="537">
        <v>1</v>
      </c>
      <c r="AD55" s="391" t="s">
        <v>12</v>
      </c>
      <c r="AE55" s="538" t="s">
        <v>558</v>
      </c>
    </row>
    <row r="56" spans="1:31" ht="39.75" customHeight="1" x14ac:dyDescent="0.25">
      <c r="A56" s="526">
        <f t="shared" si="0"/>
        <v>43</v>
      </c>
      <c r="B56" s="527">
        <v>44287</v>
      </c>
      <c r="C56" s="528" t="s">
        <v>12</v>
      </c>
      <c r="D56" s="529" t="s">
        <v>129</v>
      </c>
      <c r="E56" s="528" t="s">
        <v>12</v>
      </c>
      <c r="F56" s="530" t="s">
        <v>12</v>
      </c>
      <c r="G56" s="528" t="s">
        <v>12</v>
      </c>
      <c r="H56" s="531" t="s">
        <v>12</v>
      </c>
      <c r="I56" s="228" t="s">
        <v>12</v>
      </c>
      <c r="J56" s="529" t="s">
        <v>129</v>
      </c>
      <c r="K56" s="532">
        <v>1</v>
      </c>
      <c r="L56" s="533">
        <v>1</v>
      </c>
      <c r="M56" s="532">
        <v>1</v>
      </c>
      <c r="N56" s="533">
        <v>1</v>
      </c>
      <c r="O56" s="532">
        <v>1</v>
      </c>
      <c r="P56" s="533">
        <v>1</v>
      </c>
      <c r="Q56" s="532">
        <v>1</v>
      </c>
      <c r="R56" s="533">
        <v>1</v>
      </c>
      <c r="S56" s="534">
        <v>1</v>
      </c>
      <c r="T56" s="535" t="s">
        <v>12</v>
      </c>
      <c r="U56" s="89">
        <v>1</v>
      </c>
      <c r="V56" s="536">
        <v>1</v>
      </c>
      <c r="W56" s="89">
        <v>1</v>
      </c>
      <c r="X56" s="536">
        <v>1</v>
      </c>
      <c r="Y56" s="89">
        <v>1</v>
      </c>
      <c r="Z56" s="536">
        <v>1</v>
      </c>
      <c r="AA56" s="89">
        <v>1</v>
      </c>
      <c r="AB56" s="536">
        <v>1</v>
      </c>
      <c r="AC56" s="537">
        <v>1</v>
      </c>
      <c r="AD56" s="391" t="s">
        <v>12</v>
      </c>
      <c r="AE56" s="538" t="s">
        <v>558</v>
      </c>
    </row>
    <row r="57" spans="1:31" ht="39.75" customHeight="1" x14ac:dyDescent="0.25">
      <c r="A57" s="526">
        <f t="shared" si="0"/>
        <v>44</v>
      </c>
      <c r="B57" s="527">
        <v>44317</v>
      </c>
      <c r="C57" s="528" t="s">
        <v>12</v>
      </c>
      <c r="D57" s="529" t="s">
        <v>230</v>
      </c>
      <c r="E57" s="528" t="s">
        <v>12</v>
      </c>
      <c r="F57" s="530" t="s">
        <v>12</v>
      </c>
      <c r="G57" s="528" t="s">
        <v>12</v>
      </c>
      <c r="H57" s="531" t="s">
        <v>12</v>
      </c>
      <c r="I57" s="228" t="s">
        <v>12</v>
      </c>
      <c r="J57" s="529" t="s">
        <v>230</v>
      </c>
      <c r="K57" s="532">
        <v>1</v>
      </c>
      <c r="L57" s="533">
        <v>1</v>
      </c>
      <c r="M57" s="532">
        <v>1</v>
      </c>
      <c r="N57" s="533">
        <v>1</v>
      </c>
      <c r="O57" s="532">
        <v>1</v>
      </c>
      <c r="P57" s="533">
        <v>1</v>
      </c>
      <c r="Q57" s="532">
        <v>1</v>
      </c>
      <c r="R57" s="533">
        <v>1</v>
      </c>
      <c r="S57" s="534">
        <v>1</v>
      </c>
      <c r="T57" s="535" t="s">
        <v>12</v>
      </c>
      <c r="U57" s="89">
        <v>1</v>
      </c>
      <c r="V57" s="536">
        <v>1</v>
      </c>
      <c r="W57" s="89">
        <v>1</v>
      </c>
      <c r="X57" s="536">
        <v>1</v>
      </c>
      <c r="Y57" s="89">
        <v>1</v>
      </c>
      <c r="Z57" s="536">
        <v>1</v>
      </c>
      <c r="AA57" s="89">
        <v>1</v>
      </c>
      <c r="AB57" s="536">
        <v>1</v>
      </c>
      <c r="AC57" s="537">
        <v>1</v>
      </c>
      <c r="AD57" s="391" t="s">
        <v>12</v>
      </c>
      <c r="AE57" s="538" t="s">
        <v>558</v>
      </c>
    </row>
    <row r="58" spans="1:31" ht="39.75" customHeight="1" x14ac:dyDescent="0.25">
      <c r="A58" s="526">
        <f t="shared" si="0"/>
        <v>45</v>
      </c>
      <c r="B58" s="527">
        <v>44348</v>
      </c>
      <c r="C58" s="528" t="s">
        <v>12</v>
      </c>
      <c r="D58" s="529" t="s">
        <v>129</v>
      </c>
      <c r="E58" s="528" t="s">
        <v>12</v>
      </c>
      <c r="F58" s="530" t="s">
        <v>12</v>
      </c>
      <c r="G58" s="528" t="s">
        <v>12</v>
      </c>
      <c r="H58" s="531" t="s">
        <v>12</v>
      </c>
      <c r="I58" s="228" t="s">
        <v>12</v>
      </c>
      <c r="J58" s="529" t="s">
        <v>129</v>
      </c>
      <c r="K58" s="532">
        <v>1</v>
      </c>
      <c r="L58" s="533">
        <v>1</v>
      </c>
      <c r="M58" s="532">
        <v>1</v>
      </c>
      <c r="N58" s="533">
        <v>1</v>
      </c>
      <c r="O58" s="532">
        <v>1</v>
      </c>
      <c r="P58" s="533">
        <v>1</v>
      </c>
      <c r="Q58" s="532">
        <v>1</v>
      </c>
      <c r="R58" s="533">
        <v>1</v>
      </c>
      <c r="S58" s="534">
        <v>1</v>
      </c>
      <c r="T58" s="535" t="s">
        <v>12</v>
      </c>
      <c r="U58" s="89">
        <v>1</v>
      </c>
      <c r="V58" s="536">
        <v>1</v>
      </c>
      <c r="W58" s="89">
        <v>1</v>
      </c>
      <c r="X58" s="536">
        <v>1</v>
      </c>
      <c r="Y58" s="89">
        <v>1</v>
      </c>
      <c r="Z58" s="536">
        <v>1</v>
      </c>
      <c r="AA58" s="89">
        <v>1</v>
      </c>
      <c r="AB58" s="536">
        <v>1</v>
      </c>
      <c r="AC58" s="537">
        <v>1</v>
      </c>
      <c r="AD58" s="391" t="s">
        <v>12</v>
      </c>
      <c r="AE58" s="538" t="s">
        <v>558</v>
      </c>
    </row>
    <row r="59" spans="1:31" ht="39.75" customHeight="1" x14ac:dyDescent="0.25">
      <c r="A59" s="526">
        <f t="shared" si="0"/>
        <v>46</v>
      </c>
      <c r="B59" s="527">
        <v>44378</v>
      </c>
      <c r="C59" s="528" t="s">
        <v>12</v>
      </c>
      <c r="D59" s="529" t="s">
        <v>230</v>
      </c>
      <c r="E59" s="528" t="s">
        <v>12</v>
      </c>
      <c r="F59" s="530" t="s">
        <v>12</v>
      </c>
      <c r="G59" s="528" t="s">
        <v>12</v>
      </c>
      <c r="H59" s="531" t="s">
        <v>12</v>
      </c>
      <c r="I59" s="228" t="s">
        <v>12</v>
      </c>
      <c r="J59" s="529" t="s">
        <v>230</v>
      </c>
      <c r="K59" s="532">
        <v>1</v>
      </c>
      <c r="L59" s="533">
        <v>1</v>
      </c>
      <c r="M59" s="532">
        <v>1</v>
      </c>
      <c r="N59" s="533">
        <v>1</v>
      </c>
      <c r="O59" s="532">
        <v>1</v>
      </c>
      <c r="P59" s="533">
        <v>1</v>
      </c>
      <c r="Q59" s="532">
        <v>1</v>
      </c>
      <c r="R59" s="533">
        <v>1</v>
      </c>
      <c r="S59" s="534">
        <v>1</v>
      </c>
      <c r="T59" s="535" t="s">
        <v>12</v>
      </c>
      <c r="U59" s="89">
        <v>1</v>
      </c>
      <c r="V59" s="536">
        <v>1</v>
      </c>
      <c r="W59" s="89">
        <v>1</v>
      </c>
      <c r="X59" s="536">
        <v>1</v>
      </c>
      <c r="Y59" s="89">
        <v>1</v>
      </c>
      <c r="Z59" s="536">
        <v>1</v>
      </c>
      <c r="AA59" s="89">
        <v>1</v>
      </c>
      <c r="AB59" s="536">
        <v>1</v>
      </c>
      <c r="AC59" s="537">
        <v>1</v>
      </c>
      <c r="AD59" s="391" t="s">
        <v>12</v>
      </c>
      <c r="AE59" s="538" t="s">
        <v>12</v>
      </c>
    </row>
    <row r="60" spans="1:31" ht="39.75" customHeight="1" x14ac:dyDescent="0.25">
      <c r="A60" s="526">
        <f t="shared" si="0"/>
        <v>47</v>
      </c>
      <c r="B60" s="527">
        <v>44409</v>
      </c>
      <c r="C60" s="528" t="s">
        <v>12</v>
      </c>
      <c r="D60" s="529" t="s">
        <v>129</v>
      </c>
      <c r="E60" s="528" t="s">
        <v>12</v>
      </c>
      <c r="F60" s="530" t="s">
        <v>12</v>
      </c>
      <c r="G60" s="528" t="s">
        <v>12</v>
      </c>
      <c r="H60" s="531" t="s">
        <v>12</v>
      </c>
      <c r="I60" s="228" t="s">
        <v>12</v>
      </c>
      <c r="J60" s="529" t="s">
        <v>129</v>
      </c>
      <c r="K60" s="532">
        <v>1</v>
      </c>
      <c r="L60" s="533">
        <v>1</v>
      </c>
      <c r="M60" s="532">
        <v>1</v>
      </c>
      <c r="N60" s="533">
        <v>1</v>
      </c>
      <c r="O60" s="532">
        <v>1</v>
      </c>
      <c r="P60" s="533">
        <v>1</v>
      </c>
      <c r="Q60" s="532">
        <v>1</v>
      </c>
      <c r="R60" s="533">
        <v>1</v>
      </c>
      <c r="S60" s="534">
        <v>1</v>
      </c>
      <c r="T60" s="535" t="s">
        <v>12</v>
      </c>
      <c r="U60" s="89">
        <v>1</v>
      </c>
      <c r="V60" s="536">
        <v>1</v>
      </c>
      <c r="W60" s="89">
        <v>1</v>
      </c>
      <c r="X60" s="536">
        <v>1</v>
      </c>
      <c r="Y60" s="89">
        <v>1</v>
      </c>
      <c r="Z60" s="536">
        <v>1</v>
      </c>
      <c r="AA60" s="89">
        <v>1</v>
      </c>
      <c r="AB60" s="536">
        <v>1</v>
      </c>
      <c r="AC60" s="537">
        <v>1</v>
      </c>
      <c r="AD60" s="391" t="s">
        <v>12</v>
      </c>
      <c r="AE60" s="538" t="s">
        <v>12</v>
      </c>
    </row>
    <row r="61" spans="1:31" ht="39.75" customHeight="1" x14ac:dyDescent="0.25">
      <c r="A61" s="526">
        <f t="shared" si="0"/>
        <v>48</v>
      </c>
      <c r="B61" s="527">
        <v>44440</v>
      </c>
      <c r="C61" s="528" t="s">
        <v>12</v>
      </c>
      <c r="D61" s="529" t="s">
        <v>129</v>
      </c>
      <c r="E61" s="528" t="s">
        <v>12</v>
      </c>
      <c r="F61" s="530" t="s">
        <v>12</v>
      </c>
      <c r="G61" s="528" t="s">
        <v>12</v>
      </c>
      <c r="H61" s="531" t="s">
        <v>12</v>
      </c>
      <c r="I61" s="228" t="s">
        <v>12</v>
      </c>
      <c r="J61" s="529" t="s">
        <v>129</v>
      </c>
      <c r="K61" s="532">
        <v>1</v>
      </c>
      <c r="L61" s="533">
        <v>1</v>
      </c>
      <c r="M61" s="532">
        <v>1</v>
      </c>
      <c r="N61" s="533">
        <v>1</v>
      </c>
      <c r="O61" s="532">
        <v>1</v>
      </c>
      <c r="P61" s="533">
        <v>1</v>
      </c>
      <c r="Q61" s="532">
        <v>1</v>
      </c>
      <c r="R61" s="533">
        <v>1</v>
      </c>
      <c r="S61" s="534">
        <v>1</v>
      </c>
      <c r="T61" s="535" t="s">
        <v>12</v>
      </c>
      <c r="U61" s="89">
        <v>1</v>
      </c>
      <c r="V61" s="536">
        <v>1</v>
      </c>
      <c r="W61" s="89">
        <v>1</v>
      </c>
      <c r="X61" s="536">
        <v>1</v>
      </c>
      <c r="Y61" s="89">
        <v>1</v>
      </c>
      <c r="Z61" s="536">
        <v>1</v>
      </c>
      <c r="AA61" s="89">
        <v>1</v>
      </c>
      <c r="AB61" s="536">
        <v>1</v>
      </c>
      <c r="AC61" s="537">
        <v>1</v>
      </c>
      <c r="AD61" s="391" t="s">
        <v>12</v>
      </c>
      <c r="AE61" s="538" t="s">
        <v>558</v>
      </c>
    </row>
    <row r="62" spans="1:31" ht="39.75" customHeight="1" x14ac:dyDescent="0.25">
      <c r="A62" s="526">
        <f t="shared" si="0"/>
        <v>49</v>
      </c>
      <c r="B62" s="527">
        <v>44105</v>
      </c>
      <c r="C62" s="528" t="s">
        <v>12</v>
      </c>
      <c r="D62" s="529" t="s">
        <v>230</v>
      </c>
      <c r="E62" s="528" t="s">
        <v>12</v>
      </c>
      <c r="F62" s="530" t="s">
        <v>12</v>
      </c>
      <c r="G62" s="528" t="s">
        <v>12</v>
      </c>
      <c r="H62" s="531" t="s">
        <v>12</v>
      </c>
      <c r="I62" s="228" t="s">
        <v>12</v>
      </c>
      <c r="J62" s="529" t="s">
        <v>230</v>
      </c>
      <c r="K62" s="532">
        <v>1</v>
      </c>
      <c r="L62" s="533">
        <v>1</v>
      </c>
      <c r="M62" s="532">
        <v>1</v>
      </c>
      <c r="N62" s="533">
        <v>1</v>
      </c>
      <c r="O62" s="532">
        <v>1</v>
      </c>
      <c r="P62" s="533">
        <v>1</v>
      </c>
      <c r="Q62" s="532">
        <v>1</v>
      </c>
      <c r="R62" s="533">
        <v>1</v>
      </c>
      <c r="S62" s="534">
        <v>1</v>
      </c>
      <c r="T62" s="535" t="s">
        <v>12</v>
      </c>
      <c r="U62" s="89">
        <v>1</v>
      </c>
      <c r="V62" s="536">
        <v>1</v>
      </c>
      <c r="W62" s="89">
        <v>1</v>
      </c>
      <c r="X62" s="536">
        <v>1</v>
      </c>
      <c r="Y62" s="89">
        <v>1</v>
      </c>
      <c r="Z62" s="536">
        <v>1</v>
      </c>
      <c r="AA62" s="89">
        <v>1</v>
      </c>
      <c r="AB62" s="536">
        <v>1</v>
      </c>
      <c r="AC62" s="537">
        <v>1</v>
      </c>
      <c r="AD62" s="391" t="s">
        <v>12</v>
      </c>
      <c r="AE62" s="538" t="s">
        <v>558</v>
      </c>
    </row>
    <row r="63" spans="1:31" ht="39.75" customHeight="1" x14ac:dyDescent="0.25">
      <c r="A63" s="526">
        <f t="shared" si="0"/>
        <v>50</v>
      </c>
      <c r="B63" s="527">
        <v>44136</v>
      </c>
      <c r="C63" s="528" t="s">
        <v>12</v>
      </c>
      <c r="D63" s="529" t="s">
        <v>129</v>
      </c>
      <c r="E63" s="528" t="s">
        <v>12</v>
      </c>
      <c r="F63" s="530" t="s">
        <v>12</v>
      </c>
      <c r="G63" s="528" t="s">
        <v>12</v>
      </c>
      <c r="H63" s="531" t="s">
        <v>12</v>
      </c>
      <c r="I63" s="228" t="s">
        <v>12</v>
      </c>
      <c r="J63" s="529" t="s">
        <v>129</v>
      </c>
      <c r="K63" s="532">
        <v>1</v>
      </c>
      <c r="L63" s="533">
        <v>1</v>
      </c>
      <c r="M63" s="532">
        <v>1</v>
      </c>
      <c r="N63" s="533">
        <v>1</v>
      </c>
      <c r="O63" s="532">
        <v>1</v>
      </c>
      <c r="P63" s="533">
        <v>1</v>
      </c>
      <c r="Q63" s="532">
        <v>1</v>
      </c>
      <c r="R63" s="533">
        <v>1</v>
      </c>
      <c r="S63" s="534">
        <v>1</v>
      </c>
      <c r="T63" s="535" t="s">
        <v>12</v>
      </c>
      <c r="U63" s="89">
        <v>1</v>
      </c>
      <c r="V63" s="536">
        <v>1</v>
      </c>
      <c r="W63" s="89">
        <v>1</v>
      </c>
      <c r="X63" s="536">
        <v>1</v>
      </c>
      <c r="Y63" s="89">
        <v>1</v>
      </c>
      <c r="Z63" s="536">
        <v>1</v>
      </c>
      <c r="AA63" s="89">
        <v>1</v>
      </c>
      <c r="AB63" s="536">
        <v>1</v>
      </c>
      <c r="AC63" s="537">
        <v>1</v>
      </c>
      <c r="AD63" s="391" t="s">
        <v>12</v>
      </c>
      <c r="AE63" s="538" t="s">
        <v>558</v>
      </c>
    </row>
    <row r="64" spans="1:3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K12:T12"/>
    <mergeCell ref="U12:AD12"/>
    <mergeCell ref="H9:J9"/>
    <mergeCell ref="K9:R9"/>
    <mergeCell ref="E10:F10"/>
    <mergeCell ref="H10:J10"/>
    <mergeCell ref="K10:R10"/>
    <mergeCell ref="A11:P11"/>
    <mergeCell ref="B12:J12"/>
    <mergeCell ref="H8:J8"/>
    <mergeCell ref="K8:R8"/>
    <mergeCell ref="A6:D6"/>
    <mergeCell ref="A7:D7"/>
    <mergeCell ref="E7:G7"/>
    <mergeCell ref="H7:J7"/>
    <mergeCell ref="K7:R7"/>
    <mergeCell ref="A8:D9"/>
    <mergeCell ref="E8:G9"/>
    <mergeCell ref="A2:R2"/>
    <mergeCell ref="A3:R3"/>
    <mergeCell ref="A4:R4"/>
    <mergeCell ref="A5:P5"/>
    <mergeCell ref="E6:G6"/>
    <mergeCell ref="H6:J6"/>
    <mergeCell ref="K6:R6"/>
  </mergeCells>
  <dataValidations count="1">
    <dataValidation type="decimal" allowBlank="1" showInputMessage="1" showErrorMessage="1" prompt="Use a number, Do NOT use alphabet" sqref="K14:S63 U14:AC63" xr:uid="{00000000-0002-0000-1300-000000000000}">
      <formula1>0</formula1>
      <formula2>5000</formula2>
    </dataValidation>
  </dataValidation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300-000001000000}">
          <x14:formula1>
            <xm:f>'Pick List '!$G$15:$G$16</xm:f>
          </x14:formula1>
          <xm:sqref>D14:D63 J14:J63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385623"/>
  </sheetPr>
  <dimension ref="A1:AH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4.7109375" customWidth="1"/>
    <col min="2" max="2" width="11" customWidth="1"/>
    <col min="3" max="4" width="16.85546875" customWidth="1"/>
    <col min="5" max="5" width="20" customWidth="1"/>
    <col min="6" max="6" width="14" customWidth="1"/>
    <col min="7" max="7" width="16.140625" customWidth="1"/>
    <col min="8" max="8" width="16.42578125" customWidth="1"/>
    <col min="9" max="9" width="18.140625" customWidth="1"/>
    <col min="10" max="10" width="14.140625" customWidth="1"/>
    <col min="11" max="12" width="13.28515625" customWidth="1"/>
    <col min="13" max="13" width="12.140625" customWidth="1"/>
    <col min="14" max="31" width="5.7109375" customWidth="1"/>
    <col min="32" max="32" width="7" customWidth="1"/>
    <col min="33" max="33" width="11.7109375" customWidth="1"/>
    <col min="34" max="34" width="55.28515625" customWidth="1"/>
  </cols>
  <sheetData>
    <row r="1" spans="1:34" ht="69.75" customHeight="1" x14ac:dyDescent="0.25">
      <c r="A1" s="539" t="s">
        <v>27</v>
      </c>
      <c r="B1" s="540" t="s">
        <v>525</v>
      </c>
      <c r="C1" s="541" t="s">
        <v>559</v>
      </c>
      <c r="D1" s="542" t="s">
        <v>560</v>
      </c>
      <c r="E1" s="482" t="s">
        <v>526</v>
      </c>
      <c r="F1" s="483" t="s">
        <v>527</v>
      </c>
      <c r="G1" s="484" t="s">
        <v>528</v>
      </c>
      <c r="H1" s="485" t="s">
        <v>529</v>
      </c>
      <c r="I1" s="484" t="s">
        <v>530</v>
      </c>
      <c r="J1" s="486" t="s">
        <v>531</v>
      </c>
      <c r="K1" s="484" t="s">
        <v>532</v>
      </c>
      <c r="L1" s="543" t="s">
        <v>561</v>
      </c>
      <c r="M1" s="544" t="s">
        <v>533</v>
      </c>
      <c r="N1" s="545" t="e">
        <f>'BASE GRANTEE INFO &amp; UPDATES'!#REF!</f>
        <v>#REF!</v>
      </c>
      <c r="O1" s="546" t="e">
        <f>'BASE GRANTEE INFO &amp; UPDATES'!#REF!</f>
        <v>#REF!</v>
      </c>
      <c r="P1" s="545" t="e">
        <f>'BASE GRANTEE INFO &amp; UPDATES'!#REF!</f>
        <v>#REF!</v>
      </c>
      <c r="Q1" s="546" t="e">
        <f>'BASE GRANTEE INFO &amp; UPDATES'!#REF!</f>
        <v>#REF!</v>
      </c>
      <c r="R1" s="545" t="e">
        <f>'BASE GRANTEE INFO &amp; UPDATES'!#REF!</f>
        <v>#REF!</v>
      </c>
      <c r="S1" s="546" t="e">
        <f>'BASE GRANTEE INFO &amp; UPDATES'!#REF!</f>
        <v>#REF!</v>
      </c>
      <c r="T1" s="545" t="e">
        <f>'BASE GRANTEE INFO &amp; UPDATES'!#REF!</f>
        <v>#REF!</v>
      </c>
      <c r="U1" s="546" t="e">
        <f>'BASE GRANTEE INFO &amp; UPDATES'!#REF!</f>
        <v>#REF!</v>
      </c>
      <c r="V1" s="547" t="e">
        <f>'BASE GRANTEE INFO &amp; UPDATES'!#REF!</f>
        <v>#REF!</v>
      </c>
      <c r="W1" s="548" t="e">
        <f>'BASE GRANTEE INFO &amp; UPDATES'!#REF!</f>
        <v>#REF!</v>
      </c>
      <c r="X1" s="492" t="s">
        <v>534</v>
      </c>
      <c r="Y1" s="493" t="s">
        <v>535</v>
      </c>
      <c r="Z1" s="492" t="s">
        <v>536</v>
      </c>
      <c r="AA1" s="493" t="s">
        <v>537</v>
      </c>
      <c r="AB1" s="492" t="s">
        <v>538</v>
      </c>
      <c r="AC1" s="493" t="s">
        <v>539</v>
      </c>
      <c r="AD1" s="492" t="s">
        <v>540</v>
      </c>
      <c r="AE1" s="493" t="s">
        <v>541</v>
      </c>
      <c r="AF1" s="494" t="s">
        <v>543</v>
      </c>
      <c r="AG1" s="495" t="s">
        <v>364</v>
      </c>
      <c r="AH1" s="496" t="s">
        <v>340</v>
      </c>
    </row>
    <row r="2" spans="1:34" ht="19.5" customHeight="1" x14ac:dyDescent="0.25">
      <c r="A2" s="868" t="str">
        <f>'BASE GRANTEE INFO &amp; UPDATES'!A1</f>
        <v>WV Bureau For Behavioral Health - Harm Reduction 2025</v>
      </c>
      <c r="B2" s="705"/>
      <c r="C2" s="705"/>
      <c r="D2" s="705"/>
      <c r="E2" s="705"/>
      <c r="F2" s="705"/>
      <c r="G2" s="705"/>
      <c r="H2" s="705"/>
      <c r="I2" s="705"/>
      <c r="J2" s="705"/>
      <c r="K2" s="705"/>
      <c r="L2" s="705"/>
      <c r="M2" s="833"/>
      <c r="N2" s="886" t="s">
        <v>562</v>
      </c>
      <c r="O2" s="705"/>
      <c r="P2" s="705"/>
      <c r="Q2" s="705"/>
      <c r="R2" s="705"/>
      <c r="S2" s="705"/>
      <c r="T2" s="705"/>
      <c r="U2" s="705"/>
      <c r="V2" s="705"/>
      <c r="W2" s="833"/>
      <c r="X2" s="497"/>
      <c r="Y2" s="497"/>
      <c r="Z2" s="497"/>
      <c r="AA2" s="497"/>
      <c r="AB2" s="497"/>
      <c r="AC2" s="497"/>
      <c r="AD2" s="497"/>
      <c r="AE2" s="497"/>
      <c r="AF2" s="497"/>
      <c r="AG2" s="497"/>
      <c r="AH2" s="498"/>
    </row>
    <row r="3" spans="1:34" ht="19.5" customHeight="1" x14ac:dyDescent="0.25">
      <c r="A3" s="869">
        <f>'BASE GRANTEE INFO &amp; UPDATES'!A2</f>
        <v>0</v>
      </c>
      <c r="B3" s="708"/>
      <c r="C3" s="708"/>
      <c r="D3" s="708"/>
      <c r="E3" s="708"/>
      <c r="F3" s="708"/>
      <c r="G3" s="708"/>
      <c r="H3" s="708"/>
      <c r="I3" s="708"/>
      <c r="J3" s="708"/>
      <c r="K3" s="708"/>
      <c r="L3" s="708"/>
      <c r="M3" s="709"/>
      <c r="N3" s="549"/>
      <c r="O3" s="549"/>
      <c r="P3" s="549"/>
      <c r="Q3" s="549"/>
      <c r="R3" s="549"/>
      <c r="S3" s="549"/>
      <c r="T3" s="549"/>
      <c r="U3" s="549"/>
      <c r="V3" s="499"/>
      <c r="W3" s="499"/>
      <c r="X3" s="499"/>
      <c r="Y3" s="499"/>
      <c r="Z3" s="499"/>
      <c r="AA3" s="499"/>
      <c r="AB3" s="499"/>
      <c r="AC3" s="499"/>
      <c r="AD3" s="499"/>
      <c r="AE3" s="499"/>
      <c r="AF3" s="499"/>
      <c r="AG3" s="499"/>
      <c r="AH3" s="500"/>
    </row>
    <row r="4" spans="1:34" ht="19.5" customHeight="1" x14ac:dyDescent="0.25">
      <c r="A4" s="870"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57"/>
      <c r="N4" s="550"/>
      <c r="O4" s="550"/>
      <c r="P4" s="550"/>
      <c r="Q4" s="550"/>
      <c r="R4" s="550"/>
      <c r="S4" s="550"/>
      <c r="T4" s="550"/>
      <c r="U4" s="550"/>
      <c r="V4" s="499"/>
      <c r="W4" s="499"/>
      <c r="X4" s="499"/>
      <c r="Y4" s="499"/>
      <c r="Z4" s="499"/>
      <c r="AA4" s="499"/>
      <c r="AB4" s="499"/>
      <c r="AC4" s="499"/>
      <c r="AD4" s="499"/>
      <c r="AE4" s="499"/>
      <c r="AF4" s="499"/>
      <c r="AG4" s="499"/>
      <c r="AH4" s="500"/>
    </row>
    <row r="5" spans="1:34" ht="20.25" customHeight="1" x14ac:dyDescent="0.25">
      <c r="A5" s="871" t="s">
        <v>544</v>
      </c>
      <c r="B5" s="708"/>
      <c r="C5" s="708"/>
      <c r="D5" s="708"/>
      <c r="E5" s="708"/>
      <c r="F5" s="708"/>
      <c r="G5" s="708"/>
      <c r="H5" s="708"/>
      <c r="I5" s="708"/>
      <c r="J5" s="708"/>
      <c r="K5" s="708"/>
      <c r="L5" s="708"/>
      <c r="M5" s="708"/>
      <c r="N5" s="708"/>
      <c r="O5" s="708"/>
      <c r="P5" s="708"/>
      <c r="Q5" s="708"/>
      <c r="R5" s="708"/>
      <c r="S5" s="709"/>
      <c r="T5" s="501"/>
      <c r="U5" s="501"/>
      <c r="V5" s="501"/>
      <c r="W5" s="501"/>
      <c r="X5" s="501"/>
      <c r="Y5" s="501"/>
      <c r="Z5" s="501"/>
      <c r="AA5" s="501"/>
      <c r="AB5" s="501"/>
      <c r="AC5" s="501"/>
      <c r="AD5" s="501"/>
      <c r="AE5" s="501"/>
      <c r="AF5" s="501"/>
      <c r="AG5" s="501"/>
      <c r="AH5" s="502"/>
    </row>
    <row r="6" spans="1:34" ht="19.5" customHeight="1" x14ac:dyDescent="0.25">
      <c r="A6" s="876" t="s">
        <v>563</v>
      </c>
      <c r="B6" s="698"/>
      <c r="C6" s="698"/>
      <c r="D6" s="699"/>
      <c r="E6" s="872" t="str">
        <f>'BASE GRANTEE INFO &amp; UPDATES'!E5</f>
        <v>Harm Reduction Program</v>
      </c>
      <c r="F6" s="698"/>
      <c r="G6" s="698"/>
      <c r="H6" s="873" t="s">
        <v>0</v>
      </c>
      <c r="I6" s="699"/>
      <c r="J6" s="872">
        <f>'BASE GRANTEE INFO &amp; UPDATES'!M5</f>
        <v>0</v>
      </c>
      <c r="K6" s="698"/>
      <c r="L6" s="698"/>
      <c r="M6" s="698"/>
      <c r="N6" s="27"/>
      <c r="O6" s="503"/>
      <c r="P6" s="503"/>
      <c r="Q6" s="503"/>
      <c r="R6" s="503"/>
      <c r="S6" s="503"/>
      <c r="T6" s="503"/>
      <c r="U6" s="503"/>
      <c r="V6" s="27"/>
      <c r="W6" s="27"/>
      <c r="X6" s="27"/>
      <c r="Y6" s="27"/>
      <c r="Z6" s="27"/>
      <c r="AA6" s="27"/>
      <c r="AB6" s="503"/>
      <c r="AC6" s="503"/>
      <c r="AD6" s="503"/>
      <c r="AE6" s="503"/>
      <c r="AF6" s="503"/>
      <c r="AG6" s="503"/>
      <c r="AH6" s="504"/>
    </row>
    <row r="7" spans="1:34" x14ac:dyDescent="0.25">
      <c r="A7" s="874" t="s">
        <v>564</v>
      </c>
      <c r="B7" s="698"/>
      <c r="C7" s="698"/>
      <c r="D7" s="699"/>
      <c r="E7" s="875">
        <f>'BASE GRANTEE INFO &amp; UPDATES'!E6</f>
        <v>0</v>
      </c>
      <c r="F7" s="698"/>
      <c r="G7" s="698"/>
      <c r="H7" s="877" t="s">
        <v>547</v>
      </c>
      <c r="I7" s="699"/>
      <c r="J7" s="878">
        <f>'BASE GRANTEE INFO &amp; UPDATES'!M6</f>
        <v>0</v>
      </c>
      <c r="K7" s="698"/>
      <c r="L7" s="698"/>
      <c r="M7" s="698"/>
      <c r="N7" s="27"/>
      <c r="O7" s="551"/>
      <c r="P7" s="551"/>
      <c r="Q7" s="551"/>
      <c r="R7" s="551"/>
      <c r="S7" s="551"/>
      <c r="T7" s="551"/>
      <c r="U7" s="551"/>
      <c r="V7" s="27"/>
      <c r="W7" s="27"/>
      <c r="X7" s="27"/>
      <c r="Y7" s="27"/>
      <c r="Z7" s="27"/>
      <c r="AA7" s="27"/>
      <c r="AB7" s="27"/>
      <c r="AC7" s="27"/>
      <c r="AD7" s="27"/>
      <c r="AE7" s="27"/>
      <c r="AF7" s="27"/>
      <c r="AG7" s="27"/>
      <c r="AH7" s="504"/>
    </row>
    <row r="8" spans="1:34" ht="15" customHeight="1" x14ac:dyDescent="0.25">
      <c r="A8" s="879" t="s">
        <v>548</v>
      </c>
      <c r="B8" s="766"/>
      <c r="C8" s="766"/>
      <c r="D8" s="767"/>
      <c r="E8" s="887">
        <f>'BASE GRANTEE INFO &amp; UPDATES'!E7</f>
        <v>0</v>
      </c>
      <c r="F8" s="698"/>
      <c r="G8" s="698"/>
      <c r="H8" s="874" t="s">
        <v>549</v>
      </c>
      <c r="I8" s="699"/>
      <c r="J8" s="875">
        <f>'BASE GRANTEE INFO &amp; UPDATES'!M7</f>
        <v>0</v>
      </c>
      <c r="K8" s="698"/>
      <c r="L8" s="698"/>
      <c r="M8" s="698"/>
      <c r="N8" s="27"/>
      <c r="O8" s="27"/>
      <c r="P8" s="27"/>
      <c r="Q8" s="27"/>
      <c r="R8" s="27"/>
      <c r="S8" s="27"/>
      <c r="T8" s="27"/>
      <c r="U8" s="27"/>
      <c r="V8" s="27"/>
      <c r="W8" s="27"/>
      <c r="X8" s="27"/>
      <c r="Y8" s="27"/>
      <c r="Z8" s="27"/>
      <c r="AA8" s="27"/>
      <c r="AB8" s="505"/>
      <c r="AC8" s="505"/>
      <c r="AD8" s="505"/>
      <c r="AE8" s="505"/>
      <c r="AF8" s="505"/>
      <c r="AG8" s="505"/>
      <c r="AH8" s="504"/>
    </row>
    <row r="9" spans="1:34" x14ac:dyDescent="0.25">
      <c r="A9" s="768"/>
      <c r="B9" s="769"/>
      <c r="C9" s="769"/>
      <c r="D9" s="770"/>
      <c r="E9" s="552"/>
      <c r="F9" s="553"/>
      <c r="G9" s="553"/>
      <c r="H9" s="874" t="s">
        <v>550</v>
      </c>
      <c r="I9" s="699"/>
      <c r="J9" s="875">
        <f>'BASE GRANTEE INFO &amp; UPDATES'!M8</f>
        <v>0</v>
      </c>
      <c r="K9" s="698"/>
      <c r="L9" s="698"/>
      <c r="M9" s="698"/>
      <c r="N9" s="27"/>
      <c r="O9" s="27"/>
      <c r="P9" s="27"/>
      <c r="Q9" s="27"/>
      <c r="R9" s="27"/>
      <c r="S9" s="27"/>
      <c r="T9" s="27"/>
      <c r="U9" s="27"/>
      <c r="V9" s="27"/>
      <c r="W9" s="27"/>
      <c r="X9" s="27"/>
      <c r="Y9" s="27"/>
      <c r="Z9" s="27"/>
      <c r="AA9" s="27"/>
      <c r="AB9" s="505"/>
      <c r="AC9" s="505"/>
      <c r="AD9" s="505"/>
      <c r="AE9" s="505"/>
      <c r="AF9" s="505"/>
      <c r="AG9" s="505"/>
      <c r="AH9" s="504"/>
    </row>
    <row r="10" spans="1:34" x14ac:dyDescent="0.25">
      <c r="A10" s="889" t="s">
        <v>565</v>
      </c>
      <c r="B10" s="698"/>
      <c r="C10" s="698"/>
      <c r="D10" s="714"/>
      <c r="E10" s="554" t="str">
        <f>'BASE GRANTEE INFO &amp; UPDATES'!E9</f>
        <v>September 1 - 30</v>
      </c>
      <c r="F10" s="554"/>
      <c r="G10" s="508">
        <f>'BASE GRANTEE INFO &amp; UPDATES'!G9</f>
        <v>2024</v>
      </c>
      <c r="H10" s="873" t="s">
        <v>566</v>
      </c>
      <c r="I10" s="699"/>
      <c r="J10" s="875">
        <f>'BASE GRANTEE INFO &amp; UPDATES'!M9</f>
        <v>0</v>
      </c>
      <c r="K10" s="698"/>
      <c r="L10" s="698"/>
      <c r="M10" s="698"/>
      <c r="N10" s="27"/>
      <c r="O10" s="27"/>
      <c r="P10" s="27"/>
      <c r="Q10" s="27"/>
      <c r="R10" s="27"/>
      <c r="S10" s="27"/>
      <c r="T10" s="27"/>
      <c r="U10" s="27"/>
      <c r="V10" s="27"/>
      <c r="W10" s="27"/>
      <c r="X10" s="27"/>
      <c r="Y10" s="27"/>
      <c r="Z10" s="27"/>
      <c r="AA10" s="27"/>
      <c r="AB10" s="27"/>
      <c r="AC10" s="27"/>
      <c r="AD10" s="27"/>
      <c r="AE10" s="27"/>
      <c r="AF10" s="27"/>
      <c r="AG10" s="27"/>
      <c r="AH10" s="504"/>
    </row>
    <row r="11" spans="1:34" ht="18.75" customHeight="1" x14ac:dyDescent="0.25">
      <c r="A11" s="884" t="s">
        <v>553</v>
      </c>
      <c r="B11" s="698"/>
      <c r="C11" s="698"/>
      <c r="D11" s="698"/>
      <c r="E11" s="698"/>
      <c r="F11" s="698"/>
      <c r="G11" s="698"/>
      <c r="H11" s="698"/>
      <c r="I11" s="698"/>
      <c r="J11" s="698"/>
      <c r="K11" s="698"/>
      <c r="L11" s="698"/>
      <c r="M11" s="698"/>
      <c r="N11" s="698"/>
      <c r="O11" s="698"/>
      <c r="P11" s="698"/>
      <c r="Q11" s="698"/>
      <c r="R11" s="698"/>
      <c r="S11" s="714"/>
      <c r="T11" s="509"/>
      <c r="U11" s="509"/>
      <c r="V11" s="509"/>
      <c r="W11" s="509"/>
      <c r="X11" s="509"/>
      <c r="Y11" s="509"/>
      <c r="Z11" s="509"/>
      <c r="AA11" s="509"/>
      <c r="AB11" s="509"/>
      <c r="AC11" s="509"/>
      <c r="AD11" s="509"/>
      <c r="AE11" s="509"/>
      <c r="AF11" s="509"/>
      <c r="AG11" s="509"/>
      <c r="AH11" s="510"/>
    </row>
    <row r="12" spans="1:34" ht="39.75" customHeight="1" x14ac:dyDescent="0.25">
      <c r="A12" s="555" t="s">
        <v>27</v>
      </c>
      <c r="B12" s="885" t="s">
        <v>567</v>
      </c>
      <c r="C12" s="698"/>
      <c r="D12" s="698"/>
      <c r="E12" s="698"/>
      <c r="F12" s="698"/>
      <c r="G12" s="698"/>
      <c r="H12" s="698"/>
      <c r="I12" s="698"/>
      <c r="J12" s="698"/>
      <c r="K12" s="698"/>
      <c r="L12" s="698"/>
      <c r="M12" s="699"/>
      <c r="N12" s="888" t="s">
        <v>568</v>
      </c>
      <c r="O12" s="698"/>
      <c r="P12" s="698"/>
      <c r="Q12" s="698"/>
      <c r="R12" s="698"/>
      <c r="S12" s="698"/>
      <c r="T12" s="698"/>
      <c r="U12" s="698"/>
      <c r="V12" s="698"/>
      <c r="W12" s="699"/>
      <c r="X12" s="882" t="s">
        <v>569</v>
      </c>
      <c r="Y12" s="698"/>
      <c r="Z12" s="698"/>
      <c r="AA12" s="698"/>
      <c r="AB12" s="698"/>
      <c r="AC12" s="698"/>
      <c r="AD12" s="698"/>
      <c r="AE12" s="698"/>
      <c r="AF12" s="698"/>
      <c r="AG12" s="699"/>
      <c r="AH12" s="511" t="s">
        <v>340</v>
      </c>
    </row>
    <row r="13" spans="1:34" ht="69.75" customHeight="1" x14ac:dyDescent="0.25">
      <c r="A13" s="556" t="s">
        <v>27</v>
      </c>
      <c r="B13" s="557" t="s">
        <v>525</v>
      </c>
      <c r="C13" s="541" t="s">
        <v>559</v>
      </c>
      <c r="D13" s="542" t="s">
        <v>560</v>
      </c>
      <c r="E13" s="514" t="s">
        <v>526</v>
      </c>
      <c r="F13" s="515" t="s">
        <v>527</v>
      </c>
      <c r="G13" s="516" t="s">
        <v>528</v>
      </c>
      <c r="H13" s="517" t="s">
        <v>529</v>
      </c>
      <c r="I13" s="516" t="s">
        <v>530</v>
      </c>
      <c r="J13" s="518" t="s">
        <v>531</v>
      </c>
      <c r="K13" s="557" t="s">
        <v>532</v>
      </c>
      <c r="L13" s="543" t="s">
        <v>561</v>
      </c>
      <c r="M13" s="558" t="s">
        <v>533</v>
      </c>
      <c r="N13" s="559" t="e">
        <f>'BASE GRANTEE INFO &amp; UPDATES'!#REF!</f>
        <v>#REF!</v>
      </c>
      <c r="O13" s="560" t="e">
        <f>'BASE GRANTEE INFO &amp; UPDATES'!#REF!</f>
        <v>#REF!</v>
      </c>
      <c r="P13" s="559" t="e">
        <f>'BASE GRANTEE INFO &amp; UPDATES'!#REF!</f>
        <v>#REF!</v>
      </c>
      <c r="Q13" s="560" t="e">
        <f>'BASE GRANTEE INFO &amp; UPDATES'!#REF!</f>
        <v>#REF!</v>
      </c>
      <c r="R13" s="559" t="e">
        <f>'BASE GRANTEE INFO &amp; UPDATES'!#REF!</f>
        <v>#REF!</v>
      </c>
      <c r="S13" s="560" t="e">
        <f>'BASE GRANTEE INFO &amp; UPDATES'!#REF!</f>
        <v>#REF!</v>
      </c>
      <c r="T13" s="559" t="e">
        <f>'BASE GRANTEE INFO &amp; UPDATES'!#REF!</f>
        <v>#REF!</v>
      </c>
      <c r="U13" s="560" t="e">
        <f>'BASE GRANTEE INFO &amp; UPDATES'!#REF!</f>
        <v>#REF!</v>
      </c>
      <c r="V13" s="559" t="e">
        <f>'BASE GRANTEE INFO &amp; UPDATES'!#REF!</f>
        <v>#REF!</v>
      </c>
      <c r="W13" s="561" t="e">
        <f>'BASE GRANTEE INFO &amp; UPDATES'!#REF!</f>
        <v>#REF!</v>
      </c>
      <c r="X13" s="523" t="s">
        <v>534</v>
      </c>
      <c r="Y13" s="524" t="s">
        <v>535</v>
      </c>
      <c r="Z13" s="523" t="s">
        <v>536</v>
      </c>
      <c r="AA13" s="524" t="s">
        <v>537</v>
      </c>
      <c r="AB13" s="523" t="s">
        <v>538</v>
      </c>
      <c r="AC13" s="524" t="s">
        <v>539</v>
      </c>
      <c r="AD13" s="523" t="s">
        <v>540</v>
      </c>
      <c r="AE13" s="524" t="s">
        <v>541</v>
      </c>
      <c r="AF13" s="494" t="s">
        <v>557</v>
      </c>
      <c r="AG13" s="495" t="s">
        <v>364</v>
      </c>
      <c r="AH13" s="525" t="s">
        <v>340</v>
      </c>
    </row>
    <row r="14" spans="1:34" ht="39.75" customHeight="1" x14ac:dyDescent="0.25">
      <c r="A14" s="562">
        <f t="shared" ref="A14:A63" si="0">ROW(A1)</f>
        <v>1</v>
      </c>
      <c r="B14" s="563">
        <v>44105</v>
      </c>
      <c r="C14" s="564" t="s">
        <v>570</v>
      </c>
      <c r="D14" s="565" t="s">
        <v>12</v>
      </c>
      <c r="E14" s="528" t="s">
        <v>12</v>
      </c>
      <c r="F14" s="566" t="s">
        <v>129</v>
      </c>
      <c r="G14" s="528" t="s">
        <v>12</v>
      </c>
      <c r="H14" s="530" t="s">
        <v>12</v>
      </c>
      <c r="I14" s="528" t="s">
        <v>12</v>
      </c>
      <c r="J14" s="531" t="s">
        <v>12</v>
      </c>
      <c r="K14" s="538" t="s">
        <v>12</v>
      </c>
      <c r="L14" s="566" t="s">
        <v>129</v>
      </c>
      <c r="M14" s="567" t="s">
        <v>129</v>
      </c>
      <c r="N14" s="568" t="s">
        <v>129</v>
      </c>
      <c r="O14" s="569" t="s">
        <v>129</v>
      </c>
      <c r="P14" s="568" t="s">
        <v>129</v>
      </c>
      <c r="Q14" s="569" t="s">
        <v>129</v>
      </c>
      <c r="R14" s="568" t="s">
        <v>129</v>
      </c>
      <c r="S14" s="569" t="s">
        <v>129</v>
      </c>
      <c r="T14" s="568" t="s">
        <v>129</v>
      </c>
      <c r="U14" s="569" t="s">
        <v>129</v>
      </c>
      <c r="V14" s="568" t="s">
        <v>129</v>
      </c>
      <c r="W14" s="569" t="s">
        <v>129</v>
      </c>
      <c r="X14" s="89">
        <v>1</v>
      </c>
      <c r="Y14" s="536">
        <v>1</v>
      </c>
      <c r="Z14" s="89">
        <v>1</v>
      </c>
      <c r="AA14" s="536">
        <v>1</v>
      </c>
      <c r="AB14" s="89">
        <v>1</v>
      </c>
      <c r="AC14" s="536">
        <v>1</v>
      </c>
      <c r="AD14" s="89">
        <v>1</v>
      </c>
      <c r="AE14" s="536">
        <v>1</v>
      </c>
      <c r="AF14" s="537">
        <v>1</v>
      </c>
      <c r="AG14" s="391" t="s">
        <v>12</v>
      </c>
      <c r="AH14" s="538" t="s">
        <v>558</v>
      </c>
    </row>
    <row r="15" spans="1:34" ht="39.75" customHeight="1" x14ac:dyDescent="0.25">
      <c r="A15" s="562">
        <f t="shared" si="0"/>
        <v>2</v>
      </c>
      <c r="B15" s="563">
        <v>44136</v>
      </c>
      <c r="C15" s="564" t="s">
        <v>571</v>
      </c>
      <c r="D15" s="565" t="s">
        <v>12</v>
      </c>
      <c r="E15" s="528" t="s">
        <v>12</v>
      </c>
      <c r="F15" s="566" t="s">
        <v>230</v>
      </c>
      <c r="G15" s="528" t="s">
        <v>12</v>
      </c>
      <c r="H15" s="530" t="s">
        <v>12</v>
      </c>
      <c r="I15" s="528" t="s">
        <v>12</v>
      </c>
      <c r="J15" s="531" t="s">
        <v>12</v>
      </c>
      <c r="K15" s="538" t="s">
        <v>12</v>
      </c>
      <c r="L15" s="566" t="s">
        <v>230</v>
      </c>
      <c r="M15" s="567" t="s">
        <v>230</v>
      </c>
      <c r="N15" s="568" t="s">
        <v>230</v>
      </c>
      <c r="O15" s="569" t="s">
        <v>230</v>
      </c>
      <c r="P15" s="568" t="s">
        <v>230</v>
      </c>
      <c r="Q15" s="569" t="s">
        <v>230</v>
      </c>
      <c r="R15" s="568" t="s">
        <v>230</v>
      </c>
      <c r="S15" s="569" t="s">
        <v>230</v>
      </c>
      <c r="T15" s="568" t="s">
        <v>230</v>
      </c>
      <c r="U15" s="569" t="s">
        <v>230</v>
      </c>
      <c r="V15" s="568" t="s">
        <v>230</v>
      </c>
      <c r="W15" s="569" t="s">
        <v>230</v>
      </c>
      <c r="X15" s="89">
        <v>1</v>
      </c>
      <c r="Y15" s="536">
        <v>1</v>
      </c>
      <c r="Z15" s="89">
        <v>1</v>
      </c>
      <c r="AA15" s="536">
        <v>1</v>
      </c>
      <c r="AB15" s="89">
        <v>1</v>
      </c>
      <c r="AC15" s="536">
        <v>1</v>
      </c>
      <c r="AD15" s="89">
        <v>1</v>
      </c>
      <c r="AE15" s="536">
        <v>1</v>
      </c>
      <c r="AF15" s="537">
        <v>1</v>
      </c>
      <c r="AG15" s="391" t="s">
        <v>12</v>
      </c>
      <c r="AH15" s="538" t="s">
        <v>558</v>
      </c>
    </row>
    <row r="16" spans="1:34" ht="39.75" customHeight="1" x14ac:dyDescent="0.25">
      <c r="A16" s="562">
        <f t="shared" si="0"/>
        <v>3</v>
      </c>
      <c r="B16" s="563">
        <v>44166</v>
      </c>
      <c r="C16" s="564" t="s">
        <v>572</v>
      </c>
      <c r="D16" s="565" t="s">
        <v>12</v>
      </c>
      <c r="E16" s="528" t="s">
        <v>12</v>
      </c>
      <c r="F16" s="566" t="s">
        <v>129</v>
      </c>
      <c r="G16" s="528" t="s">
        <v>12</v>
      </c>
      <c r="H16" s="530" t="s">
        <v>12</v>
      </c>
      <c r="I16" s="528" t="s">
        <v>12</v>
      </c>
      <c r="J16" s="531" t="s">
        <v>12</v>
      </c>
      <c r="K16" s="538" t="s">
        <v>12</v>
      </c>
      <c r="L16" s="566" t="s">
        <v>129</v>
      </c>
      <c r="M16" s="567" t="s">
        <v>129</v>
      </c>
      <c r="N16" s="568" t="s">
        <v>129</v>
      </c>
      <c r="O16" s="569" t="s">
        <v>129</v>
      </c>
      <c r="P16" s="568" t="s">
        <v>129</v>
      </c>
      <c r="Q16" s="569" t="s">
        <v>129</v>
      </c>
      <c r="R16" s="568" t="s">
        <v>129</v>
      </c>
      <c r="S16" s="569" t="s">
        <v>129</v>
      </c>
      <c r="T16" s="568" t="s">
        <v>129</v>
      </c>
      <c r="U16" s="569" t="s">
        <v>129</v>
      </c>
      <c r="V16" s="568" t="s">
        <v>129</v>
      </c>
      <c r="W16" s="569" t="s">
        <v>129</v>
      </c>
      <c r="X16" s="89">
        <v>1</v>
      </c>
      <c r="Y16" s="536">
        <v>1</v>
      </c>
      <c r="Z16" s="89">
        <v>1</v>
      </c>
      <c r="AA16" s="536">
        <v>1</v>
      </c>
      <c r="AB16" s="89">
        <v>1</v>
      </c>
      <c r="AC16" s="536">
        <v>1</v>
      </c>
      <c r="AD16" s="89">
        <v>1</v>
      </c>
      <c r="AE16" s="536">
        <v>1</v>
      </c>
      <c r="AF16" s="537">
        <v>1</v>
      </c>
      <c r="AG16" s="391" t="s">
        <v>12</v>
      </c>
      <c r="AH16" s="538" t="s">
        <v>558</v>
      </c>
    </row>
    <row r="17" spans="1:34" ht="39.75" customHeight="1" x14ac:dyDescent="0.25">
      <c r="A17" s="562">
        <f t="shared" si="0"/>
        <v>4</v>
      </c>
      <c r="B17" s="563">
        <v>44197</v>
      </c>
      <c r="C17" s="564" t="s">
        <v>573</v>
      </c>
      <c r="D17" s="565" t="s">
        <v>12</v>
      </c>
      <c r="E17" s="528" t="s">
        <v>12</v>
      </c>
      <c r="F17" s="566" t="s">
        <v>230</v>
      </c>
      <c r="G17" s="528" t="s">
        <v>12</v>
      </c>
      <c r="H17" s="530" t="s">
        <v>12</v>
      </c>
      <c r="I17" s="528" t="s">
        <v>12</v>
      </c>
      <c r="J17" s="531" t="s">
        <v>12</v>
      </c>
      <c r="K17" s="538" t="s">
        <v>12</v>
      </c>
      <c r="L17" s="566" t="s">
        <v>230</v>
      </c>
      <c r="M17" s="567" t="s">
        <v>230</v>
      </c>
      <c r="N17" s="568" t="s">
        <v>230</v>
      </c>
      <c r="O17" s="569" t="s">
        <v>230</v>
      </c>
      <c r="P17" s="568" t="s">
        <v>230</v>
      </c>
      <c r="Q17" s="569" t="s">
        <v>230</v>
      </c>
      <c r="R17" s="568" t="s">
        <v>230</v>
      </c>
      <c r="S17" s="569" t="s">
        <v>230</v>
      </c>
      <c r="T17" s="568" t="s">
        <v>230</v>
      </c>
      <c r="U17" s="569" t="s">
        <v>230</v>
      </c>
      <c r="V17" s="568" t="s">
        <v>230</v>
      </c>
      <c r="W17" s="569" t="s">
        <v>230</v>
      </c>
      <c r="X17" s="89">
        <v>1</v>
      </c>
      <c r="Y17" s="536">
        <v>1</v>
      </c>
      <c r="Z17" s="89">
        <v>1</v>
      </c>
      <c r="AA17" s="536">
        <v>1</v>
      </c>
      <c r="AB17" s="89">
        <v>1</v>
      </c>
      <c r="AC17" s="536">
        <v>1</v>
      </c>
      <c r="AD17" s="89">
        <v>1</v>
      </c>
      <c r="AE17" s="536">
        <v>1</v>
      </c>
      <c r="AF17" s="537">
        <v>1</v>
      </c>
      <c r="AG17" s="391" t="s">
        <v>12</v>
      </c>
      <c r="AH17" s="538" t="s">
        <v>558</v>
      </c>
    </row>
    <row r="18" spans="1:34" ht="39.75" customHeight="1" x14ac:dyDescent="0.25">
      <c r="A18" s="562">
        <f t="shared" si="0"/>
        <v>5</v>
      </c>
      <c r="B18" s="563">
        <v>44228</v>
      </c>
      <c r="C18" s="564" t="s">
        <v>570</v>
      </c>
      <c r="D18" s="565" t="s">
        <v>12</v>
      </c>
      <c r="E18" s="528" t="s">
        <v>12</v>
      </c>
      <c r="F18" s="566" t="s">
        <v>129</v>
      </c>
      <c r="G18" s="528" t="s">
        <v>12</v>
      </c>
      <c r="H18" s="530" t="s">
        <v>12</v>
      </c>
      <c r="I18" s="528" t="s">
        <v>12</v>
      </c>
      <c r="J18" s="531" t="s">
        <v>12</v>
      </c>
      <c r="K18" s="538" t="s">
        <v>12</v>
      </c>
      <c r="L18" s="566" t="s">
        <v>129</v>
      </c>
      <c r="M18" s="567" t="s">
        <v>129</v>
      </c>
      <c r="N18" s="568" t="s">
        <v>129</v>
      </c>
      <c r="O18" s="569" t="s">
        <v>129</v>
      </c>
      <c r="P18" s="568" t="s">
        <v>129</v>
      </c>
      <c r="Q18" s="569" t="s">
        <v>129</v>
      </c>
      <c r="R18" s="568" t="s">
        <v>129</v>
      </c>
      <c r="S18" s="569" t="s">
        <v>129</v>
      </c>
      <c r="T18" s="568" t="s">
        <v>129</v>
      </c>
      <c r="U18" s="569" t="s">
        <v>129</v>
      </c>
      <c r="V18" s="568" t="s">
        <v>129</v>
      </c>
      <c r="W18" s="569" t="s">
        <v>129</v>
      </c>
      <c r="X18" s="89">
        <v>1</v>
      </c>
      <c r="Y18" s="536">
        <v>1</v>
      </c>
      <c r="Z18" s="89">
        <v>1</v>
      </c>
      <c r="AA18" s="536">
        <v>1</v>
      </c>
      <c r="AB18" s="89">
        <v>1</v>
      </c>
      <c r="AC18" s="536">
        <v>1</v>
      </c>
      <c r="AD18" s="89">
        <v>1</v>
      </c>
      <c r="AE18" s="536">
        <v>1</v>
      </c>
      <c r="AF18" s="537">
        <v>1</v>
      </c>
      <c r="AG18" s="391" t="s">
        <v>12</v>
      </c>
      <c r="AH18" s="538" t="s">
        <v>558</v>
      </c>
    </row>
    <row r="19" spans="1:34" ht="39.75" customHeight="1" x14ac:dyDescent="0.25">
      <c r="A19" s="562">
        <f t="shared" si="0"/>
        <v>6</v>
      </c>
      <c r="B19" s="563">
        <v>44256</v>
      </c>
      <c r="C19" s="564" t="s">
        <v>571</v>
      </c>
      <c r="D19" s="565" t="s">
        <v>12</v>
      </c>
      <c r="E19" s="528" t="s">
        <v>12</v>
      </c>
      <c r="F19" s="566" t="s">
        <v>230</v>
      </c>
      <c r="G19" s="528" t="s">
        <v>12</v>
      </c>
      <c r="H19" s="530" t="s">
        <v>12</v>
      </c>
      <c r="I19" s="528" t="s">
        <v>12</v>
      </c>
      <c r="J19" s="531" t="s">
        <v>12</v>
      </c>
      <c r="K19" s="538" t="s">
        <v>12</v>
      </c>
      <c r="L19" s="566" t="s">
        <v>230</v>
      </c>
      <c r="M19" s="567" t="s">
        <v>230</v>
      </c>
      <c r="N19" s="568" t="s">
        <v>230</v>
      </c>
      <c r="O19" s="569" t="s">
        <v>230</v>
      </c>
      <c r="P19" s="568" t="s">
        <v>230</v>
      </c>
      <c r="Q19" s="569" t="s">
        <v>230</v>
      </c>
      <c r="R19" s="568" t="s">
        <v>230</v>
      </c>
      <c r="S19" s="569" t="s">
        <v>230</v>
      </c>
      <c r="T19" s="568" t="s">
        <v>230</v>
      </c>
      <c r="U19" s="569" t="s">
        <v>230</v>
      </c>
      <c r="V19" s="568" t="s">
        <v>230</v>
      </c>
      <c r="W19" s="569" t="s">
        <v>230</v>
      </c>
      <c r="X19" s="89">
        <v>1</v>
      </c>
      <c r="Y19" s="536">
        <v>1</v>
      </c>
      <c r="Z19" s="89">
        <v>1</v>
      </c>
      <c r="AA19" s="536">
        <v>1</v>
      </c>
      <c r="AB19" s="89">
        <v>1</v>
      </c>
      <c r="AC19" s="536">
        <v>1</v>
      </c>
      <c r="AD19" s="89">
        <v>1</v>
      </c>
      <c r="AE19" s="536">
        <v>1</v>
      </c>
      <c r="AF19" s="537">
        <v>1</v>
      </c>
      <c r="AG19" s="391" t="s">
        <v>12</v>
      </c>
      <c r="AH19" s="538" t="s">
        <v>12</v>
      </c>
    </row>
    <row r="20" spans="1:34" ht="39.75" customHeight="1" x14ac:dyDescent="0.25">
      <c r="A20" s="562">
        <f t="shared" si="0"/>
        <v>7</v>
      </c>
      <c r="B20" s="563">
        <v>44287</v>
      </c>
      <c r="C20" s="564" t="s">
        <v>572</v>
      </c>
      <c r="D20" s="565" t="s">
        <v>12</v>
      </c>
      <c r="E20" s="528" t="s">
        <v>12</v>
      </c>
      <c r="F20" s="566" t="s">
        <v>129</v>
      </c>
      <c r="G20" s="528" t="s">
        <v>12</v>
      </c>
      <c r="H20" s="530" t="s">
        <v>12</v>
      </c>
      <c r="I20" s="528" t="s">
        <v>12</v>
      </c>
      <c r="J20" s="531" t="s">
        <v>12</v>
      </c>
      <c r="K20" s="538" t="s">
        <v>12</v>
      </c>
      <c r="L20" s="566" t="s">
        <v>129</v>
      </c>
      <c r="M20" s="567" t="s">
        <v>129</v>
      </c>
      <c r="N20" s="568" t="s">
        <v>129</v>
      </c>
      <c r="O20" s="569" t="s">
        <v>129</v>
      </c>
      <c r="P20" s="568" t="s">
        <v>129</v>
      </c>
      <c r="Q20" s="569" t="s">
        <v>129</v>
      </c>
      <c r="R20" s="568" t="s">
        <v>129</v>
      </c>
      <c r="S20" s="569" t="s">
        <v>129</v>
      </c>
      <c r="T20" s="568" t="s">
        <v>129</v>
      </c>
      <c r="U20" s="569" t="s">
        <v>129</v>
      </c>
      <c r="V20" s="568" t="s">
        <v>129</v>
      </c>
      <c r="W20" s="569" t="s">
        <v>129</v>
      </c>
      <c r="X20" s="89">
        <v>1</v>
      </c>
      <c r="Y20" s="536">
        <v>1</v>
      </c>
      <c r="Z20" s="89">
        <v>1</v>
      </c>
      <c r="AA20" s="536">
        <v>1</v>
      </c>
      <c r="AB20" s="89">
        <v>1</v>
      </c>
      <c r="AC20" s="536">
        <v>1</v>
      </c>
      <c r="AD20" s="89">
        <v>1</v>
      </c>
      <c r="AE20" s="536">
        <v>1</v>
      </c>
      <c r="AF20" s="537">
        <v>1</v>
      </c>
      <c r="AG20" s="391" t="s">
        <v>12</v>
      </c>
      <c r="AH20" s="538" t="s">
        <v>12</v>
      </c>
    </row>
    <row r="21" spans="1:34" ht="39.75" customHeight="1" x14ac:dyDescent="0.25">
      <c r="A21" s="562">
        <f t="shared" si="0"/>
        <v>8</v>
      </c>
      <c r="B21" s="563">
        <v>44317</v>
      </c>
      <c r="C21" s="564" t="s">
        <v>573</v>
      </c>
      <c r="D21" s="565" t="s">
        <v>12</v>
      </c>
      <c r="E21" s="528" t="s">
        <v>12</v>
      </c>
      <c r="F21" s="566" t="s">
        <v>129</v>
      </c>
      <c r="G21" s="528" t="s">
        <v>12</v>
      </c>
      <c r="H21" s="530" t="s">
        <v>12</v>
      </c>
      <c r="I21" s="528" t="s">
        <v>12</v>
      </c>
      <c r="J21" s="531" t="s">
        <v>12</v>
      </c>
      <c r="K21" s="538" t="s">
        <v>12</v>
      </c>
      <c r="L21" s="566" t="s">
        <v>129</v>
      </c>
      <c r="M21" s="567" t="s">
        <v>129</v>
      </c>
      <c r="N21" s="568" t="s">
        <v>129</v>
      </c>
      <c r="O21" s="569" t="s">
        <v>129</v>
      </c>
      <c r="P21" s="568" t="s">
        <v>129</v>
      </c>
      <c r="Q21" s="569" t="s">
        <v>129</v>
      </c>
      <c r="R21" s="568" t="s">
        <v>129</v>
      </c>
      <c r="S21" s="569" t="s">
        <v>129</v>
      </c>
      <c r="T21" s="568" t="s">
        <v>129</v>
      </c>
      <c r="U21" s="569" t="s">
        <v>129</v>
      </c>
      <c r="V21" s="568" t="s">
        <v>129</v>
      </c>
      <c r="W21" s="569" t="s">
        <v>129</v>
      </c>
      <c r="X21" s="89">
        <v>1</v>
      </c>
      <c r="Y21" s="536">
        <v>1</v>
      </c>
      <c r="Z21" s="89">
        <v>1</v>
      </c>
      <c r="AA21" s="536">
        <v>1</v>
      </c>
      <c r="AB21" s="89">
        <v>1</v>
      </c>
      <c r="AC21" s="536">
        <v>1</v>
      </c>
      <c r="AD21" s="89">
        <v>1</v>
      </c>
      <c r="AE21" s="536">
        <v>1</v>
      </c>
      <c r="AF21" s="537">
        <v>1</v>
      </c>
      <c r="AG21" s="391" t="s">
        <v>12</v>
      </c>
      <c r="AH21" s="538" t="s">
        <v>558</v>
      </c>
    </row>
    <row r="22" spans="1:34" ht="39.75" customHeight="1" x14ac:dyDescent="0.25">
      <c r="A22" s="562">
        <f t="shared" si="0"/>
        <v>9</v>
      </c>
      <c r="B22" s="563">
        <v>44348</v>
      </c>
      <c r="C22" s="564" t="s">
        <v>570</v>
      </c>
      <c r="D22" s="565" t="s">
        <v>12</v>
      </c>
      <c r="E22" s="528" t="s">
        <v>12</v>
      </c>
      <c r="F22" s="566" t="s">
        <v>230</v>
      </c>
      <c r="G22" s="528" t="s">
        <v>12</v>
      </c>
      <c r="H22" s="530" t="s">
        <v>12</v>
      </c>
      <c r="I22" s="528" t="s">
        <v>12</v>
      </c>
      <c r="J22" s="531" t="s">
        <v>12</v>
      </c>
      <c r="K22" s="538" t="s">
        <v>12</v>
      </c>
      <c r="L22" s="566" t="s">
        <v>230</v>
      </c>
      <c r="M22" s="567" t="s">
        <v>230</v>
      </c>
      <c r="N22" s="568" t="s">
        <v>230</v>
      </c>
      <c r="O22" s="569" t="s">
        <v>230</v>
      </c>
      <c r="P22" s="568" t="s">
        <v>230</v>
      </c>
      <c r="Q22" s="569" t="s">
        <v>230</v>
      </c>
      <c r="R22" s="568" t="s">
        <v>230</v>
      </c>
      <c r="S22" s="569" t="s">
        <v>230</v>
      </c>
      <c r="T22" s="568" t="s">
        <v>230</v>
      </c>
      <c r="U22" s="569" t="s">
        <v>230</v>
      </c>
      <c r="V22" s="568" t="s">
        <v>230</v>
      </c>
      <c r="W22" s="569" t="s">
        <v>230</v>
      </c>
      <c r="X22" s="89">
        <v>1</v>
      </c>
      <c r="Y22" s="536">
        <v>1</v>
      </c>
      <c r="Z22" s="89">
        <v>1</v>
      </c>
      <c r="AA22" s="536">
        <v>1</v>
      </c>
      <c r="AB22" s="89">
        <v>1</v>
      </c>
      <c r="AC22" s="536">
        <v>1</v>
      </c>
      <c r="AD22" s="89">
        <v>1</v>
      </c>
      <c r="AE22" s="536">
        <v>1</v>
      </c>
      <c r="AF22" s="537">
        <v>1</v>
      </c>
      <c r="AG22" s="391" t="s">
        <v>12</v>
      </c>
      <c r="AH22" s="538" t="s">
        <v>558</v>
      </c>
    </row>
    <row r="23" spans="1:34" ht="39.75" customHeight="1" x14ac:dyDescent="0.25">
      <c r="A23" s="562">
        <f t="shared" si="0"/>
        <v>10</v>
      </c>
      <c r="B23" s="563">
        <v>44378</v>
      </c>
      <c r="C23" s="564" t="s">
        <v>571</v>
      </c>
      <c r="D23" s="565" t="s">
        <v>12</v>
      </c>
      <c r="E23" s="528" t="s">
        <v>12</v>
      </c>
      <c r="F23" s="566" t="s">
        <v>129</v>
      </c>
      <c r="G23" s="528" t="s">
        <v>12</v>
      </c>
      <c r="H23" s="530" t="s">
        <v>12</v>
      </c>
      <c r="I23" s="528" t="s">
        <v>12</v>
      </c>
      <c r="J23" s="531" t="s">
        <v>12</v>
      </c>
      <c r="K23" s="538" t="s">
        <v>12</v>
      </c>
      <c r="L23" s="566" t="s">
        <v>129</v>
      </c>
      <c r="M23" s="567" t="s">
        <v>129</v>
      </c>
      <c r="N23" s="568" t="s">
        <v>129</v>
      </c>
      <c r="O23" s="569" t="s">
        <v>129</v>
      </c>
      <c r="P23" s="568" t="s">
        <v>129</v>
      </c>
      <c r="Q23" s="569" t="s">
        <v>129</v>
      </c>
      <c r="R23" s="568" t="s">
        <v>129</v>
      </c>
      <c r="S23" s="569" t="s">
        <v>129</v>
      </c>
      <c r="T23" s="568" t="s">
        <v>129</v>
      </c>
      <c r="U23" s="569" t="s">
        <v>129</v>
      </c>
      <c r="V23" s="568" t="s">
        <v>129</v>
      </c>
      <c r="W23" s="569" t="s">
        <v>129</v>
      </c>
      <c r="X23" s="89">
        <v>1</v>
      </c>
      <c r="Y23" s="536">
        <v>1</v>
      </c>
      <c r="Z23" s="89">
        <v>1</v>
      </c>
      <c r="AA23" s="536">
        <v>1</v>
      </c>
      <c r="AB23" s="89">
        <v>1</v>
      </c>
      <c r="AC23" s="536">
        <v>1</v>
      </c>
      <c r="AD23" s="89">
        <v>1</v>
      </c>
      <c r="AE23" s="536">
        <v>1</v>
      </c>
      <c r="AF23" s="537">
        <v>1</v>
      </c>
      <c r="AG23" s="391" t="s">
        <v>12</v>
      </c>
      <c r="AH23" s="538" t="s">
        <v>558</v>
      </c>
    </row>
    <row r="24" spans="1:34" ht="39.75" customHeight="1" x14ac:dyDescent="0.25">
      <c r="A24" s="562">
        <f t="shared" si="0"/>
        <v>11</v>
      </c>
      <c r="B24" s="563">
        <v>44409</v>
      </c>
      <c r="C24" s="564" t="s">
        <v>570</v>
      </c>
      <c r="D24" s="565" t="s">
        <v>12</v>
      </c>
      <c r="E24" s="528" t="s">
        <v>12</v>
      </c>
      <c r="F24" s="566" t="s">
        <v>129</v>
      </c>
      <c r="G24" s="528" t="s">
        <v>12</v>
      </c>
      <c r="H24" s="530" t="s">
        <v>12</v>
      </c>
      <c r="I24" s="528" t="s">
        <v>12</v>
      </c>
      <c r="J24" s="531" t="s">
        <v>12</v>
      </c>
      <c r="K24" s="538" t="s">
        <v>12</v>
      </c>
      <c r="L24" s="566" t="s">
        <v>129</v>
      </c>
      <c r="M24" s="567" t="s">
        <v>129</v>
      </c>
      <c r="N24" s="568" t="s">
        <v>129</v>
      </c>
      <c r="O24" s="569" t="s">
        <v>129</v>
      </c>
      <c r="P24" s="568" t="s">
        <v>129</v>
      </c>
      <c r="Q24" s="569" t="s">
        <v>129</v>
      </c>
      <c r="R24" s="568" t="s">
        <v>129</v>
      </c>
      <c r="S24" s="569" t="s">
        <v>129</v>
      </c>
      <c r="T24" s="568" t="s">
        <v>129</v>
      </c>
      <c r="U24" s="569" t="s">
        <v>129</v>
      </c>
      <c r="V24" s="568" t="s">
        <v>129</v>
      </c>
      <c r="W24" s="569" t="s">
        <v>129</v>
      </c>
      <c r="X24" s="89">
        <v>1</v>
      </c>
      <c r="Y24" s="536">
        <v>1</v>
      </c>
      <c r="Z24" s="89">
        <v>1</v>
      </c>
      <c r="AA24" s="536">
        <v>1</v>
      </c>
      <c r="AB24" s="89">
        <v>1</v>
      </c>
      <c r="AC24" s="536">
        <v>1</v>
      </c>
      <c r="AD24" s="89">
        <v>1</v>
      </c>
      <c r="AE24" s="536">
        <v>1</v>
      </c>
      <c r="AF24" s="537">
        <v>1</v>
      </c>
      <c r="AG24" s="391" t="s">
        <v>12</v>
      </c>
      <c r="AH24" s="538" t="s">
        <v>558</v>
      </c>
    </row>
    <row r="25" spans="1:34" ht="39.75" customHeight="1" x14ac:dyDescent="0.25">
      <c r="A25" s="562">
        <f t="shared" si="0"/>
        <v>12</v>
      </c>
      <c r="B25" s="563">
        <v>44440</v>
      </c>
      <c r="C25" s="564" t="s">
        <v>571</v>
      </c>
      <c r="D25" s="565" t="s">
        <v>12</v>
      </c>
      <c r="E25" s="528" t="s">
        <v>12</v>
      </c>
      <c r="F25" s="566" t="s">
        <v>230</v>
      </c>
      <c r="G25" s="528" t="s">
        <v>12</v>
      </c>
      <c r="H25" s="530" t="s">
        <v>12</v>
      </c>
      <c r="I25" s="528" t="s">
        <v>12</v>
      </c>
      <c r="J25" s="531" t="s">
        <v>12</v>
      </c>
      <c r="K25" s="538" t="s">
        <v>12</v>
      </c>
      <c r="L25" s="566" t="s">
        <v>230</v>
      </c>
      <c r="M25" s="567" t="s">
        <v>230</v>
      </c>
      <c r="N25" s="568" t="s">
        <v>230</v>
      </c>
      <c r="O25" s="569" t="s">
        <v>230</v>
      </c>
      <c r="P25" s="568" t="s">
        <v>230</v>
      </c>
      <c r="Q25" s="569" t="s">
        <v>230</v>
      </c>
      <c r="R25" s="568" t="s">
        <v>230</v>
      </c>
      <c r="S25" s="569" t="s">
        <v>230</v>
      </c>
      <c r="T25" s="568" t="s">
        <v>230</v>
      </c>
      <c r="U25" s="569" t="s">
        <v>230</v>
      </c>
      <c r="V25" s="568" t="s">
        <v>230</v>
      </c>
      <c r="W25" s="569" t="s">
        <v>230</v>
      </c>
      <c r="X25" s="89">
        <v>1</v>
      </c>
      <c r="Y25" s="536">
        <v>1</v>
      </c>
      <c r="Z25" s="89">
        <v>1</v>
      </c>
      <c r="AA25" s="536">
        <v>1</v>
      </c>
      <c r="AB25" s="89">
        <v>1</v>
      </c>
      <c r="AC25" s="536">
        <v>1</v>
      </c>
      <c r="AD25" s="89">
        <v>1</v>
      </c>
      <c r="AE25" s="536">
        <v>1</v>
      </c>
      <c r="AF25" s="537">
        <v>1</v>
      </c>
      <c r="AG25" s="391" t="s">
        <v>12</v>
      </c>
      <c r="AH25" s="538" t="s">
        <v>558</v>
      </c>
    </row>
    <row r="26" spans="1:34" ht="39.75" customHeight="1" x14ac:dyDescent="0.25">
      <c r="A26" s="562">
        <f t="shared" si="0"/>
        <v>13</v>
      </c>
      <c r="B26" s="563">
        <v>44105</v>
      </c>
      <c r="C26" s="564" t="s">
        <v>572</v>
      </c>
      <c r="D26" s="565" t="s">
        <v>12</v>
      </c>
      <c r="E26" s="528" t="s">
        <v>12</v>
      </c>
      <c r="F26" s="566" t="s">
        <v>129</v>
      </c>
      <c r="G26" s="528" t="s">
        <v>12</v>
      </c>
      <c r="H26" s="530" t="s">
        <v>12</v>
      </c>
      <c r="I26" s="528" t="s">
        <v>12</v>
      </c>
      <c r="J26" s="531" t="s">
        <v>12</v>
      </c>
      <c r="K26" s="538" t="s">
        <v>12</v>
      </c>
      <c r="L26" s="566" t="s">
        <v>129</v>
      </c>
      <c r="M26" s="567" t="s">
        <v>129</v>
      </c>
      <c r="N26" s="568" t="s">
        <v>129</v>
      </c>
      <c r="O26" s="569" t="s">
        <v>129</v>
      </c>
      <c r="P26" s="568" t="s">
        <v>129</v>
      </c>
      <c r="Q26" s="569" t="s">
        <v>129</v>
      </c>
      <c r="R26" s="568" t="s">
        <v>129</v>
      </c>
      <c r="S26" s="569" t="s">
        <v>129</v>
      </c>
      <c r="T26" s="568" t="s">
        <v>129</v>
      </c>
      <c r="U26" s="569" t="s">
        <v>129</v>
      </c>
      <c r="V26" s="568" t="s">
        <v>129</v>
      </c>
      <c r="W26" s="569" t="s">
        <v>129</v>
      </c>
      <c r="X26" s="89">
        <v>1</v>
      </c>
      <c r="Y26" s="536">
        <v>1</v>
      </c>
      <c r="Z26" s="89">
        <v>1</v>
      </c>
      <c r="AA26" s="536">
        <v>1</v>
      </c>
      <c r="AB26" s="89">
        <v>1</v>
      </c>
      <c r="AC26" s="536">
        <v>1</v>
      </c>
      <c r="AD26" s="89">
        <v>1</v>
      </c>
      <c r="AE26" s="536">
        <v>1</v>
      </c>
      <c r="AF26" s="537">
        <v>1</v>
      </c>
      <c r="AG26" s="391" t="s">
        <v>12</v>
      </c>
      <c r="AH26" s="538" t="s">
        <v>12</v>
      </c>
    </row>
    <row r="27" spans="1:34" ht="39.75" customHeight="1" x14ac:dyDescent="0.25">
      <c r="A27" s="562">
        <f t="shared" si="0"/>
        <v>14</v>
      </c>
      <c r="B27" s="563">
        <v>44136</v>
      </c>
      <c r="C27" s="564" t="s">
        <v>573</v>
      </c>
      <c r="D27" s="565" t="s">
        <v>12</v>
      </c>
      <c r="E27" s="528" t="s">
        <v>12</v>
      </c>
      <c r="F27" s="566" t="s">
        <v>230</v>
      </c>
      <c r="G27" s="528" t="s">
        <v>12</v>
      </c>
      <c r="H27" s="530" t="s">
        <v>12</v>
      </c>
      <c r="I27" s="528" t="s">
        <v>12</v>
      </c>
      <c r="J27" s="531" t="s">
        <v>12</v>
      </c>
      <c r="K27" s="538" t="s">
        <v>12</v>
      </c>
      <c r="L27" s="566" t="s">
        <v>230</v>
      </c>
      <c r="M27" s="567" t="s">
        <v>230</v>
      </c>
      <c r="N27" s="568" t="s">
        <v>230</v>
      </c>
      <c r="O27" s="569" t="s">
        <v>230</v>
      </c>
      <c r="P27" s="568" t="s">
        <v>230</v>
      </c>
      <c r="Q27" s="569" t="s">
        <v>230</v>
      </c>
      <c r="R27" s="568" t="s">
        <v>230</v>
      </c>
      <c r="S27" s="569" t="s">
        <v>230</v>
      </c>
      <c r="T27" s="568" t="s">
        <v>230</v>
      </c>
      <c r="U27" s="569" t="s">
        <v>230</v>
      </c>
      <c r="V27" s="568" t="s">
        <v>230</v>
      </c>
      <c r="W27" s="569" t="s">
        <v>230</v>
      </c>
      <c r="X27" s="89">
        <v>1</v>
      </c>
      <c r="Y27" s="536">
        <v>1</v>
      </c>
      <c r="Z27" s="89">
        <v>1</v>
      </c>
      <c r="AA27" s="536">
        <v>1</v>
      </c>
      <c r="AB27" s="89">
        <v>1</v>
      </c>
      <c r="AC27" s="536">
        <v>1</v>
      </c>
      <c r="AD27" s="89">
        <v>1</v>
      </c>
      <c r="AE27" s="536">
        <v>1</v>
      </c>
      <c r="AF27" s="537">
        <v>1</v>
      </c>
      <c r="AG27" s="391" t="s">
        <v>12</v>
      </c>
      <c r="AH27" s="538" t="s">
        <v>12</v>
      </c>
    </row>
    <row r="28" spans="1:34" ht="39.75" customHeight="1" x14ac:dyDescent="0.25">
      <c r="A28" s="562">
        <f t="shared" si="0"/>
        <v>15</v>
      </c>
      <c r="B28" s="563">
        <v>44166</v>
      </c>
      <c r="C28" s="564" t="s">
        <v>570</v>
      </c>
      <c r="D28" s="565" t="s">
        <v>12</v>
      </c>
      <c r="E28" s="528" t="s">
        <v>12</v>
      </c>
      <c r="F28" s="566" t="s">
        <v>129</v>
      </c>
      <c r="G28" s="528" t="s">
        <v>12</v>
      </c>
      <c r="H28" s="530" t="s">
        <v>12</v>
      </c>
      <c r="I28" s="528" t="s">
        <v>12</v>
      </c>
      <c r="J28" s="531" t="s">
        <v>12</v>
      </c>
      <c r="K28" s="538" t="s">
        <v>12</v>
      </c>
      <c r="L28" s="566" t="s">
        <v>129</v>
      </c>
      <c r="M28" s="567" t="s">
        <v>129</v>
      </c>
      <c r="N28" s="568" t="s">
        <v>129</v>
      </c>
      <c r="O28" s="569" t="s">
        <v>129</v>
      </c>
      <c r="P28" s="568" t="s">
        <v>129</v>
      </c>
      <c r="Q28" s="569" t="s">
        <v>129</v>
      </c>
      <c r="R28" s="568" t="s">
        <v>129</v>
      </c>
      <c r="S28" s="569" t="s">
        <v>129</v>
      </c>
      <c r="T28" s="568" t="s">
        <v>129</v>
      </c>
      <c r="U28" s="569" t="s">
        <v>129</v>
      </c>
      <c r="V28" s="568" t="s">
        <v>129</v>
      </c>
      <c r="W28" s="569" t="s">
        <v>129</v>
      </c>
      <c r="X28" s="89">
        <v>1</v>
      </c>
      <c r="Y28" s="536">
        <v>1</v>
      </c>
      <c r="Z28" s="89">
        <v>1</v>
      </c>
      <c r="AA28" s="536">
        <v>1</v>
      </c>
      <c r="AB28" s="89">
        <v>1</v>
      </c>
      <c r="AC28" s="536">
        <v>1</v>
      </c>
      <c r="AD28" s="89">
        <v>1</v>
      </c>
      <c r="AE28" s="536">
        <v>1</v>
      </c>
      <c r="AF28" s="537">
        <v>1</v>
      </c>
      <c r="AG28" s="391" t="s">
        <v>12</v>
      </c>
      <c r="AH28" s="538" t="s">
        <v>558</v>
      </c>
    </row>
    <row r="29" spans="1:34" ht="39.75" customHeight="1" x14ac:dyDescent="0.25">
      <c r="A29" s="562">
        <f t="shared" si="0"/>
        <v>16</v>
      </c>
      <c r="B29" s="563">
        <v>44197</v>
      </c>
      <c r="C29" s="564" t="s">
        <v>571</v>
      </c>
      <c r="D29" s="565" t="s">
        <v>12</v>
      </c>
      <c r="E29" s="528" t="s">
        <v>12</v>
      </c>
      <c r="F29" s="566" t="s">
        <v>230</v>
      </c>
      <c r="G29" s="528" t="s">
        <v>12</v>
      </c>
      <c r="H29" s="530" t="s">
        <v>12</v>
      </c>
      <c r="I29" s="528" t="s">
        <v>12</v>
      </c>
      <c r="J29" s="531" t="s">
        <v>12</v>
      </c>
      <c r="K29" s="538" t="s">
        <v>12</v>
      </c>
      <c r="L29" s="566" t="s">
        <v>230</v>
      </c>
      <c r="M29" s="567" t="s">
        <v>230</v>
      </c>
      <c r="N29" s="568" t="s">
        <v>230</v>
      </c>
      <c r="O29" s="569" t="s">
        <v>230</v>
      </c>
      <c r="P29" s="568" t="s">
        <v>230</v>
      </c>
      <c r="Q29" s="569" t="s">
        <v>230</v>
      </c>
      <c r="R29" s="568" t="s">
        <v>230</v>
      </c>
      <c r="S29" s="569" t="s">
        <v>230</v>
      </c>
      <c r="T29" s="568" t="s">
        <v>230</v>
      </c>
      <c r="U29" s="569" t="s">
        <v>230</v>
      </c>
      <c r="V29" s="568" t="s">
        <v>230</v>
      </c>
      <c r="W29" s="569" t="s">
        <v>230</v>
      </c>
      <c r="X29" s="89">
        <v>1</v>
      </c>
      <c r="Y29" s="536">
        <v>1</v>
      </c>
      <c r="Z29" s="89">
        <v>1</v>
      </c>
      <c r="AA29" s="536">
        <v>1</v>
      </c>
      <c r="AB29" s="89">
        <v>1</v>
      </c>
      <c r="AC29" s="536">
        <v>1</v>
      </c>
      <c r="AD29" s="89">
        <v>1</v>
      </c>
      <c r="AE29" s="536">
        <v>1</v>
      </c>
      <c r="AF29" s="537">
        <v>1</v>
      </c>
      <c r="AG29" s="391" t="s">
        <v>12</v>
      </c>
      <c r="AH29" s="538" t="s">
        <v>558</v>
      </c>
    </row>
    <row r="30" spans="1:34" ht="39.75" customHeight="1" x14ac:dyDescent="0.25">
      <c r="A30" s="562">
        <f t="shared" si="0"/>
        <v>17</v>
      </c>
      <c r="B30" s="563">
        <v>44228</v>
      </c>
      <c r="C30" s="564" t="s">
        <v>572</v>
      </c>
      <c r="D30" s="565" t="s">
        <v>12</v>
      </c>
      <c r="E30" s="528" t="s">
        <v>12</v>
      </c>
      <c r="F30" s="566" t="s">
        <v>129</v>
      </c>
      <c r="G30" s="528" t="s">
        <v>12</v>
      </c>
      <c r="H30" s="530" t="s">
        <v>12</v>
      </c>
      <c r="I30" s="528" t="s">
        <v>12</v>
      </c>
      <c r="J30" s="531" t="s">
        <v>12</v>
      </c>
      <c r="K30" s="538" t="s">
        <v>12</v>
      </c>
      <c r="L30" s="566" t="s">
        <v>129</v>
      </c>
      <c r="M30" s="567" t="s">
        <v>129</v>
      </c>
      <c r="N30" s="568" t="s">
        <v>129</v>
      </c>
      <c r="O30" s="569" t="s">
        <v>129</v>
      </c>
      <c r="P30" s="568" t="s">
        <v>129</v>
      </c>
      <c r="Q30" s="569" t="s">
        <v>129</v>
      </c>
      <c r="R30" s="568" t="s">
        <v>129</v>
      </c>
      <c r="S30" s="569" t="s">
        <v>129</v>
      </c>
      <c r="T30" s="568" t="s">
        <v>129</v>
      </c>
      <c r="U30" s="569" t="s">
        <v>129</v>
      </c>
      <c r="V30" s="568" t="s">
        <v>129</v>
      </c>
      <c r="W30" s="569" t="s">
        <v>129</v>
      </c>
      <c r="X30" s="89">
        <v>1</v>
      </c>
      <c r="Y30" s="536">
        <v>1</v>
      </c>
      <c r="Z30" s="89">
        <v>1</v>
      </c>
      <c r="AA30" s="536">
        <v>1</v>
      </c>
      <c r="AB30" s="89">
        <v>1</v>
      </c>
      <c r="AC30" s="536">
        <v>1</v>
      </c>
      <c r="AD30" s="89">
        <v>1</v>
      </c>
      <c r="AE30" s="536">
        <v>1</v>
      </c>
      <c r="AF30" s="537">
        <v>1</v>
      </c>
      <c r="AG30" s="391" t="s">
        <v>12</v>
      </c>
      <c r="AH30" s="538" t="s">
        <v>558</v>
      </c>
    </row>
    <row r="31" spans="1:34" ht="39.75" customHeight="1" x14ac:dyDescent="0.25">
      <c r="A31" s="562">
        <f t="shared" si="0"/>
        <v>18</v>
      </c>
      <c r="B31" s="563">
        <v>44256</v>
      </c>
      <c r="C31" s="564" t="s">
        <v>573</v>
      </c>
      <c r="D31" s="565" t="s">
        <v>12</v>
      </c>
      <c r="E31" s="528" t="s">
        <v>12</v>
      </c>
      <c r="F31" s="566" t="s">
        <v>129</v>
      </c>
      <c r="G31" s="528" t="s">
        <v>12</v>
      </c>
      <c r="H31" s="530" t="s">
        <v>12</v>
      </c>
      <c r="I31" s="528" t="s">
        <v>12</v>
      </c>
      <c r="J31" s="531" t="s">
        <v>12</v>
      </c>
      <c r="K31" s="538" t="s">
        <v>12</v>
      </c>
      <c r="L31" s="566" t="s">
        <v>129</v>
      </c>
      <c r="M31" s="567" t="s">
        <v>129</v>
      </c>
      <c r="N31" s="568" t="s">
        <v>129</v>
      </c>
      <c r="O31" s="569" t="s">
        <v>129</v>
      </c>
      <c r="P31" s="568" t="s">
        <v>129</v>
      </c>
      <c r="Q31" s="569" t="s">
        <v>129</v>
      </c>
      <c r="R31" s="568" t="s">
        <v>129</v>
      </c>
      <c r="S31" s="569" t="s">
        <v>129</v>
      </c>
      <c r="T31" s="568" t="s">
        <v>129</v>
      </c>
      <c r="U31" s="569" t="s">
        <v>129</v>
      </c>
      <c r="V31" s="568" t="s">
        <v>129</v>
      </c>
      <c r="W31" s="569" t="s">
        <v>129</v>
      </c>
      <c r="X31" s="89">
        <v>1</v>
      </c>
      <c r="Y31" s="536">
        <v>1</v>
      </c>
      <c r="Z31" s="89">
        <v>1</v>
      </c>
      <c r="AA31" s="536">
        <v>1</v>
      </c>
      <c r="AB31" s="89">
        <v>1</v>
      </c>
      <c r="AC31" s="536">
        <v>1</v>
      </c>
      <c r="AD31" s="89">
        <v>1</v>
      </c>
      <c r="AE31" s="536">
        <v>1</v>
      </c>
      <c r="AF31" s="537">
        <v>1</v>
      </c>
      <c r="AG31" s="391" t="s">
        <v>12</v>
      </c>
      <c r="AH31" s="538" t="s">
        <v>558</v>
      </c>
    </row>
    <row r="32" spans="1:34" ht="39.75" customHeight="1" x14ac:dyDescent="0.25">
      <c r="A32" s="562">
        <f t="shared" si="0"/>
        <v>19</v>
      </c>
      <c r="B32" s="563">
        <v>44287</v>
      </c>
      <c r="C32" s="564" t="s">
        <v>570</v>
      </c>
      <c r="D32" s="565" t="s">
        <v>12</v>
      </c>
      <c r="E32" s="528" t="s">
        <v>12</v>
      </c>
      <c r="F32" s="566" t="s">
        <v>230</v>
      </c>
      <c r="G32" s="528" t="s">
        <v>12</v>
      </c>
      <c r="H32" s="530" t="s">
        <v>12</v>
      </c>
      <c r="I32" s="528" t="s">
        <v>12</v>
      </c>
      <c r="J32" s="531" t="s">
        <v>12</v>
      </c>
      <c r="K32" s="538" t="s">
        <v>12</v>
      </c>
      <c r="L32" s="566" t="s">
        <v>230</v>
      </c>
      <c r="M32" s="567" t="s">
        <v>230</v>
      </c>
      <c r="N32" s="568" t="s">
        <v>230</v>
      </c>
      <c r="O32" s="569" t="s">
        <v>230</v>
      </c>
      <c r="P32" s="568" t="s">
        <v>230</v>
      </c>
      <c r="Q32" s="569" t="s">
        <v>230</v>
      </c>
      <c r="R32" s="568" t="s">
        <v>230</v>
      </c>
      <c r="S32" s="569" t="s">
        <v>230</v>
      </c>
      <c r="T32" s="568" t="s">
        <v>230</v>
      </c>
      <c r="U32" s="569" t="s">
        <v>230</v>
      </c>
      <c r="V32" s="568" t="s">
        <v>230</v>
      </c>
      <c r="W32" s="569" t="s">
        <v>230</v>
      </c>
      <c r="X32" s="89">
        <v>1</v>
      </c>
      <c r="Y32" s="536">
        <v>1</v>
      </c>
      <c r="Z32" s="89">
        <v>1</v>
      </c>
      <c r="AA32" s="536">
        <v>1</v>
      </c>
      <c r="AB32" s="89">
        <v>1</v>
      </c>
      <c r="AC32" s="536">
        <v>1</v>
      </c>
      <c r="AD32" s="89">
        <v>1</v>
      </c>
      <c r="AE32" s="536">
        <v>1</v>
      </c>
      <c r="AF32" s="537">
        <v>1</v>
      </c>
      <c r="AG32" s="391" t="s">
        <v>12</v>
      </c>
      <c r="AH32" s="538" t="s">
        <v>558</v>
      </c>
    </row>
    <row r="33" spans="1:34" ht="39.75" customHeight="1" x14ac:dyDescent="0.25">
      <c r="A33" s="562">
        <f t="shared" si="0"/>
        <v>20</v>
      </c>
      <c r="B33" s="563">
        <v>44317</v>
      </c>
      <c r="C33" s="564" t="s">
        <v>571</v>
      </c>
      <c r="D33" s="565" t="s">
        <v>12</v>
      </c>
      <c r="E33" s="528" t="s">
        <v>12</v>
      </c>
      <c r="F33" s="566" t="s">
        <v>129</v>
      </c>
      <c r="G33" s="528" t="s">
        <v>12</v>
      </c>
      <c r="H33" s="530" t="s">
        <v>12</v>
      </c>
      <c r="I33" s="528" t="s">
        <v>12</v>
      </c>
      <c r="J33" s="531" t="s">
        <v>12</v>
      </c>
      <c r="K33" s="538" t="s">
        <v>12</v>
      </c>
      <c r="L33" s="566" t="s">
        <v>129</v>
      </c>
      <c r="M33" s="567" t="s">
        <v>129</v>
      </c>
      <c r="N33" s="568" t="s">
        <v>129</v>
      </c>
      <c r="O33" s="569" t="s">
        <v>129</v>
      </c>
      <c r="P33" s="568" t="s">
        <v>129</v>
      </c>
      <c r="Q33" s="569" t="s">
        <v>129</v>
      </c>
      <c r="R33" s="568" t="s">
        <v>129</v>
      </c>
      <c r="S33" s="569" t="s">
        <v>129</v>
      </c>
      <c r="T33" s="568" t="s">
        <v>129</v>
      </c>
      <c r="U33" s="569" t="s">
        <v>129</v>
      </c>
      <c r="V33" s="568" t="s">
        <v>129</v>
      </c>
      <c r="W33" s="569" t="s">
        <v>129</v>
      </c>
      <c r="X33" s="89">
        <v>1</v>
      </c>
      <c r="Y33" s="536">
        <v>1</v>
      </c>
      <c r="Z33" s="89">
        <v>1</v>
      </c>
      <c r="AA33" s="536">
        <v>1</v>
      </c>
      <c r="AB33" s="89">
        <v>1</v>
      </c>
      <c r="AC33" s="536">
        <v>1</v>
      </c>
      <c r="AD33" s="89">
        <v>1</v>
      </c>
      <c r="AE33" s="536">
        <v>1</v>
      </c>
      <c r="AF33" s="537">
        <v>1</v>
      </c>
      <c r="AG33" s="391" t="s">
        <v>12</v>
      </c>
      <c r="AH33" s="538" t="s">
        <v>12</v>
      </c>
    </row>
    <row r="34" spans="1:34" ht="39.75" customHeight="1" x14ac:dyDescent="0.25">
      <c r="A34" s="562">
        <f t="shared" si="0"/>
        <v>21</v>
      </c>
      <c r="B34" s="563">
        <v>44348</v>
      </c>
      <c r="C34" s="564" t="s">
        <v>570</v>
      </c>
      <c r="D34" s="565" t="s">
        <v>12</v>
      </c>
      <c r="E34" s="528" t="s">
        <v>12</v>
      </c>
      <c r="F34" s="566" t="s">
        <v>129</v>
      </c>
      <c r="G34" s="528" t="s">
        <v>12</v>
      </c>
      <c r="H34" s="530" t="s">
        <v>12</v>
      </c>
      <c r="I34" s="528" t="s">
        <v>12</v>
      </c>
      <c r="J34" s="531" t="s">
        <v>12</v>
      </c>
      <c r="K34" s="538" t="s">
        <v>12</v>
      </c>
      <c r="L34" s="566" t="s">
        <v>129</v>
      </c>
      <c r="M34" s="567" t="s">
        <v>129</v>
      </c>
      <c r="N34" s="568" t="s">
        <v>129</v>
      </c>
      <c r="O34" s="569" t="s">
        <v>129</v>
      </c>
      <c r="P34" s="568" t="s">
        <v>129</v>
      </c>
      <c r="Q34" s="569" t="s">
        <v>129</v>
      </c>
      <c r="R34" s="568" t="s">
        <v>129</v>
      </c>
      <c r="S34" s="569" t="s">
        <v>129</v>
      </c>
      <c r="T34" s="568" t="s">
        <v>129</v>
      </c>
      <c r="U34" s="569" t="s">
        <v>129</v>
      </c>
      <c r="V34" s="568" t="s">
        <v>129</v>
      </c>
      <c r="W34" s="569" t="s">
        <v>129</v>
      </c>
      <c r="X34" s="89">
        <v>1</v>
      </c>
      <c r="Y34" s="536">
        <v>1</v>
      </c>
      <c r="Z34" s="89">
        <v>1</v>
      </c>
      <c r="AA34" s="536">
        <v>1</v>
      </c>
      <c r="AB34" s="89">
        <v>1</v>
      </c>
      <c r="AC34" s="536">
        <v>1</v>
      </c>
      <c r="AD34" s="89">
        <v>1</v>
      </c>
      <c r="AE34" s="536">
        <v>1</v>
      </c>
      <c r="AF34" s="537">
        <v>1</v>
      </c>
      <c r="AG34" s="391" t="s">
        <v>12</v>
      </c>
      <c r="AH34" s="538" t="s">
        <v>12</v>
      </c>
    </row>
    <row r="35" spans="1:34" ht="39.75" customHeight="1" x14ac:dyDescent="0.25">
      <c r="A35" s="562">
        <f t="shared" si="0"/>
        <v>22</v>
      </c>
      <c r="B35" s="563">
        <v>44378</v>
      </c>
      <c r="C35" s="564" t="s">
        <v>571</v>
      </c>
      <c r="D35" s="565" t="s">
        <v>12</v>
      </c>
      <c r="E35" s="528" t="s">
        <v>12</v>
      </c>
      <c r="F35" s="566" t="s">
        <v>230</v>
      </c>
      <c r="G35" s="528" t="s">
        <v>12</v>
      </c>
      <c r="H35" s="530" t="s">
        <v>12</v>
      </c>
      <c r="I35" s="528" t="s">
        <v>12</v>
      </c>
      <c r="J35" s="531" t="s">
        <v>12</v>
      </c>
      <c r="K35" s="538" t="s">
        <v>12</v>
      </c>
      <c r="L35" s="566" t="s">
        <v>230</v>
      </c>
      <c r="M35" s="567" t="s">
        <v>230</v>
      </c>
      <c r="N35" s="568" t="s">
        <v>230</v>
      </c>
      <c r="O35" s="569" t="s">
        <v>230</v>
      </c>
      <c r="P35" s="568" t="s">
        <v>230</v>
      </c>
      <c r="Q35" s="569" t="s">
        <v>230</v>
      </c>
      <c r="R35" s="568" t="s">
        <v>230</v>
      </c>
      <c r="S35" s="569" t="s">
        <v>230</v>
      </c>
      <c r="T35" s="568" t="s">
        <v>230</v>
      </c>
      <c r="U35" s="569" t="s">
        <v>230</v>
      </c>
      <c r="V35" s="568" t="s">
        <v>230</v>
      </c>
      <c r="W35" s="569" t="s">
        <v>230</v>
      </c>
      <c r="X35" s="89">
        <v>1</v>
      </c>
      <c r="Y35" s="536">
        <v>1</v>
      </c>
      <c r="Z35" s="89">
        <v>1</v>
      </c>
      <c r="AA35" s="536">
        <v>1</v>
      </c>
      <c r="AB35" s="89">
        <v>1</v>
      </c>
      <c r="AC35" s="536">
        <v>1</v>
      </c>
      <c r="AD35" s="89">
        <v>1</v>
      </c>
      <c r="AE35" s="536">
        <v>1</v>
      </c>
      <c r="AF35" s="537">
        <v>1</v>
      </c>
      <c r="AG35" s="391" t="s">
        <v>12</v>
      </c>
      <c r="AH35" s="538" t="s">
        <v>558</v>
      </c>
    </row>
    <row r="36" spans="1:34" ht="39.75" customHeight="1" x14ac:dyDescent="0.25">
      <c r="A36" s="562">
        <f t="shared" si="0"/>
        <v>23</v>
      </c>
      <c r="B36" s="563">
        <v>44409</v>
      </c>
      <c r="C36" s="564" t="s">
        <v>572</v>
      </c>
      <c r="D36" s="565" t="s">
        <v>12</v>
      </c>
      <c r="E36" s="528" t="s">
        <v>12</v>
      </c>
      <c r="F36" s="566" t="s">
        <v>129</v>
      </c>
      <c r="G36" s="528" t="s">
        <v>12</v>
      </c>
      <c r="H36" s="530" t="s">
        <v>12</v>
      </c>
      <c r="I36" s="528" t="s">
        <v>12</v>
      </c>
      <c r="J36" s="531" t="s">
        <v>12</v>
      </c>
      <c r="K36" s="538" t="s">
        <v>12</v>
      </c>
      <c r="L36" s="566" t="s">
        <v>129</v>
      </c>
      <c r="M36" s="567" t="s">
        <v>129</v>
      </c>
      <c r="N36" s="568" t="s">
        <v>129</v>
      </c>
      <c r="O36" s="569" t="s">
        <v>129</v>
      </c>
      <c r="P36" s="568" t="s">
        <v>129</v>
      </c>
      <c r="Q36" s="569" t="s">
        <v>129</v>
      </c>
      <c r="R36" s="568" t="s">
        <v>129</v>
      </c>
      <c r="S36" s="569" t="s">
        <v>129</v>
      </c>
      <c r="T36" s="568" t="s">
        <v>129</v>
      </c>
      <c r="U36" s="569" t="s">
        <v>129</v>
      </c>
      <c r="V36" s="568" t="s">
        <v>129</v>
      </c>
      <c r="W36" s="569" t="s">
        <v>129</v>
      </c>
      <c r="X36" s="89">
        <v>1</v>
      </c>
      <c r="Y36" s="536">
        <v>1</v>
      </c>
      <c r="Z36" s="89">
        <v>1</v>
      </c>
      <c r="AA36" s="536">
        <v>1</v>
      </c>
      <c r="AB36" s="89">
        <v>1</v>
      </c>
      <c r="AC36" s="536">
        <v>1</v>
      </c>
      <c r="AD36" s="89">
        <v>1</v>
      </c>
      <c r="AE36" s="536">
        <v>1</v>
      </c>
      <c r="AF36" s="537">
        <v>1</v>
      </c>
      <c r="AG36" s="391" t="s">
        <v>12</v>
      </c>
      <c r="AH36" s="538" t="s">
        <v>558</v>
      </c>
    </row>
    <row r="37" spans="1:34" ht="39.75" customHeight="1" x14ac:dyDescent="0.25">
      <c r="A37" s="562">
        <f t="shared" si="0"/>
        <v>24</v>
      </c>
      <c r="B37" s="563">
        <v>44440</v>
      </c>
      <c r="C37" s="564" t="s">
        <v>573</v>
      </c>
      <c r="D37" s="565" t="s">
        <v>12</v>
      </c>
      <c r="E37" s="528" t="s">
        <v>12</v>
      </c>
      <c r="F37" s="566" t="s">
        <v>230</v>
      </c>
      <c r="G37" s="528" t="s">
        <v>12</v>
      </c>
      <c r="H37" s="530" t="s">
        <v>12</v>
      </c>
      <c r="I37" s="528" t="s">
        <v>12</v>
      </c>
      <c r="J37" s="531" t="s">
        <v>12</v>
      </c>
      <c r="K37" s="538" t="s">
        <v>12</v>
      </c>
      <c r="L37" s="566" t="s">
        <v>230</v>
      </c>
      <c r="M37" s="567" t="s">
        <v>230</v>
      </c>
      <c r="N37" s="568" t="s">
        <v>230</v>
      </c>
      <c r="O37" s="569" t="s">
        <v>230</v>
      </c>
      <c r="P37" s="568" t="s">
        <v>230</v>
      </c>
      <c r="Q37" s="569" t="s">
        <v>230</v>
      </c>
      <c r="R37" s="568" t="s">
        <v>230</v>
      </c>
      <c r="S37" s="569" t="s">
        <v>230</v>
      </c>
      <c r="T37" s="568" t="s">
        <v>230</v>
      </c>
      <c r="U37" s="569" t="s">
        <v>230</v>
      </c>
      <c r="V37" s="568" t="s">
        <v>230</v>
      </c>
      <c r="W37" s="569" t="s">
        <v>230</v>
      </c>
      <c r="X37" s="89">
        <v>1</v>
      </c>
      <c r="Y37" s="536">
        <v>1</v>
      </c>
      <c r="Z37" s="89">
        <v>1</v>
      </c>
      <c r="AA37" s="536">
        <v>1</v>
      </c>
      <c r="AB37" s="89">
        <v>1</v>
      </c>
      <c r="AC37" s="536">
        <v>1</v>
      </c>
      <c r="AD37" s="89">
        <v>1</v>
      </c>
      <c r="AE37" s="536">
        <v>1</v>
      </c>
      <c r="AF37" s="537">
        <v>1</v>
      </c>
      <c r="AG37" s="391" t="s">
        <v>12</v>
      </c>
      <c r="AH37" s="538" t="s">
        <v>558</v>
      </c>
    </row>
    <row r="38" spans="1:34" ht="39.75" customHeight="1" x14ac:dyDescent="0.25">
      <c r="A38" s="562">
        <f t="shared" si="0"/>
        <v>25</v>
      </c>
      <c r="B38" s="563">
        <v>44105</v>
      </c>
      <c r="C38" s="564" t="s">
        <v>570</v>
      </c>
      <c r="D38" s="565" t="s">
        <v>12</v>
      </c>
      <c r="E38" s="528" t="s">
        <v>12</v>
      </c>
      <c r="F38" s="566" t="s">
        <v>129</v>
      </c>
      <c r="G38" s="528" t="s">
        <v>12</v>
      </c>
      <c r="H38" s="530" t="s">
        <v>12</v>
      </c>
      <c r="I38" s="528" t="s">
        <v>12</v>
      </c>
      <c r="J38" s="531" t="s">
        <v>12</v>
      </c>
      <c r="K38" s="538" t="s">
        <v>12</v>
      </c>
      <c r="L38" s="566" t="s">
        <v>129</v>
      </c>
      <c r="M38" s="567" t="s">
        <v>129</v>
      </c>
      <c r="N38" s="568" t="s">
        <v>129</v>
      </c>
      <c r="O38" s="569" t="s">
        <v>129</v>
      </c>
      <c r="P38" s="568" t="s">
        <v>129</v>
      </c>
      <c r="Q38" s="569" t="s">
        <v>129</v>
      </c>
      <c r="R38" s="568" t="s">
        <v>129</v>
      </c>
      <c r="S38" s="569" t="s">
        <v>129</v>
      </c>
      <c r="T38" s="568" t="s">
        <v>129</v>
      </c>
      <c r="U38" s="569" t="s">
        <v>129</v>
      </c>
      <c r="V38" s="568" t="s">
        <v>129</v>
      </c>
      <c r="W38" s="569" t="s">
        <v>129</v>
      </c>
      <c r="X38" s="89">
        <v>1</v>
      </c>
      <c r="Y38" s="536">
        <v>1</v>
      </c>
      <c r="Z38" s="89">
        <v>1</v>
      </c>
      <c r="AA38" s="536">
        <v>1</v>
      </c>
      <c r="AB38" s="89">
        <v>1</v>
      </c>
      <c r="AC38" s="536">
        <v>1</v>
      </c>
      <c r="AD38" s="89">
        <v>1</v>
      </c>
      <c r="AE38" s="536">
        <v>1</v>
      </c>
      <c r="AF38" s="537">
        <v>1</v>
      </c>
      <c r="AG38" s="391" t="s">
        <v>12</v>
      </c>
      <c r="AH38" s="538" t="s">
        <v>558</v>
      </c>
    </row>
    <row r="39" spans="1:34" ht="39.75" customHeight="1" x14ac:dyDescent="0.25">
      <c r="A39" s="562">
        <f t="shared" si="0"/>
        <v>26</v>
      </c>
      <c r="B39" s="563">
        <v>44136</v>
      </c>
      <c r="C39" s="564" t="s">
        <v>571</v>
      </c>
      <c r="D39" s="565" t="s">
        <v>12</v>
      </c>
      <c r="E39" s="528" t="s">
        <v>12</v>
      </c>
      <c r="F39" s="566" t="s">
        <v>230</v>
      </c>
      <c r="G39" s="528" t="s">
        <v>12</v>
      </c>
      <c r="H39" s="530" t="s">
        <v>12</v>
      </c>
      <c r="I39" s="528" t="s">
        <v>12</v>
      </c>
      <c r="J39" s="531" t="s">
        <v>12</v>
      </c>
      <c r="K39" s="538" t="s">
        <v>12</v>
      </c>
      <c r="L39" s="566" t="s">
        <v>230</v>
      </c>
      <c r="M39" s="567" t="s">
        <v>230</v>
      </c>
      <c r="N39" s="568" t="s">
        <v>230</v>
      </c>
      <c r="O39" s="569" t="s">
        <v>230</v>
      </c>
      <c r="P39" s="568" t="s">
        <v>230</v>
      </c>
      <c r="Q39" s="569" t="s">
        <v>230</v>
      </c>
      <c r="R39" s="568" t="s">
        <v>230</v>
      </c>
      <c r="S39" s="569" t="s">
        <v>230</v>
      </c>
      <c r="T39" s="568" t="s">
        <v>230</v>
      </c>
      <c r="U39" s="569" t="s">
        <v>230</v>
      </c>
      <c r="V39" s="568" t="s">
        <v>230</v>
      </c>
      <c r="W39" s="569" t="s">
        <v>230</v>
      </c>
      <c r="X39" s="89">
        <v>1</v>
      </c>
      <c r="Y39" s="536">
        <v>1</v>
      </c>
      <c r="Z39" s="89">
        <v>1</v>
      </c>
      <c r="AA39" s="536">
        <v>1</v>
      </c>
      <c r="AB39" s="89">
        <v>1</v>
      </c>
      <c r="AC39" s="536">
        <v>1</v>
      </c>
      <c r="AD39" s="89">
        <v>1</v>
      </c>
      <c r="AE39" s="536">
        <v>1</v>
      </c>
      <c r="AF39" s="537">
        <v>1</v>
      </c>
      <c r="AG39" s="391" t="s">
        <v>12</v>
      </c>
      <c r="AH39" s="538" t="s">
        <v>558</v>
      </c>
    </row>
    <row r="40" spans="1:34" ht="39.75" customHeight="1" x14ac:dyDescent="0.25">
      <c r="A40" s="562">
        <f t="shared" si="0"/>
        <v>27</v>
      </c>
      <c r="B40" s="563">
        <v>44166</v>
      </c>
      <c r="C40" s="564" t="s">
        <v>572</v>
      </c>
      <c r="D40" s="565" t="s">
        <v>12</v>
      </c>
      <c r="E40" s="528" t="s">
        <v>12</v>
      </c>
      <c r="F40" s="566" t="s">
        <v>129</v>
      </c>
      <c r="G40" s="528" t="s">
        <v>12</v>
      </c>
      <c r="H40" s="530" t="s">
        <v>12</v>
      </c>
      <c r="I40" s="528" t="s">
        <v>12</v>
      </c>
      <c r="J40" s="531" t="s">
        <v>12</v>
      </c>
      <c r="K40" s="538" t="s">
        <v>12</v>
      </c>
      <c r="L40" s="566" t="s">
        <v>129</v>
      </c>
      <c r="M40" s="567" t="s">
        <v>129</v>
      </c>
      <c r="N40" s="568" t="s">
        <v>129</v>
      </c>
      <c r="O40" s="569" t="s">
        <v>129</v>
      </c>
      <c r="P40" s="568" t="s">
        <v>129</v>
      </c>
      <c r="Q40" s="569" t="s">
        <v>129</v>
      </c>
      <c r="R40" s="568" t="s">
        <v>129</v>
      </c>
      <c r="S40" s="569" t="s">
        <v>129</v>
      </c>
      <c r="T40" s="568" t="s">
        <v>129</v>
      </c>
      <c r="U40" s="569" t="s">
        <v>129</v>
      </c>
      <c r="V40" s="568" t="s">
        <v>129</v>
      </c>
      <c r="W40" s="569" t="s">
        <v>129</v>
      </c>
      <c r="X40" s="89">
        <v>1</v>
      </c>
      <c r="Y40" s="536">
        <v>1</v>
      </c>
      <c r="Z40" s="89">
        <v>1</v>
      </c>
      <c r="AA40" s="536">
        <v>1</v>
      </c>
      <c r="AB40" s="89">
        <v>1</v>
      </c>
      <c r="AC40" s="536">
        <v>1</v>
      </c>
      <c r="AD40" s="89">
        <v>1</v>
      </c>
      <c r="AE40" s="536">
        <v>1</v>
      </c>
      <c r="AF40" s="537">
        <v>1</v>
      </c>
      <c r="AG40" s="391" t="s">
        <v>12</v>
      </c>
      <c r="AH40" s="538" t="s">
        <v>12</v>
      </c>
    </row>
    <row r="41" spans="1:34" ht="39.75" customHeight="1" x14ac:dyDescent="0.25">
      <c r="A41" s="562">
        <f t="shared" si="0"/>
        <v>28</v>
      </c>
      <c r="B41" s="563">
        <v>44197</v>
      </c>
      <c r="C41" s="564" t="s">
        <v>573</v>
      </c>
      <c r="D41" s="565" t="s">
        <v>12</v>
      </c>
      <c r="E41" s="528" t="s">
        <v>12</v>
      </c>
      <c r="F41" s="566" t="s">
        <v>129</v>
      </c>
      <c r="G41" s="528" t="s">
        <v>12</v>
      </c>
      <c r="H41" s="530" t="s">
        <v>12</v>
      </c>
      <c r="I41" s="528" t="s">
        <v>12</v>
      </c>
      <c r="J41" s="531" t="s">
        <v>12</v>
      </c>
      <c r="K41" s="538" t="s">
        <v>12</v>
      </c>
      <c r="L41" s="566" t="s">
        <v>129</v>
      </c>
      <c r="M41" s="567" t="s">
        <v>129</v>
      </c>
      <c r="N41" s="568" t="s">
        <v>129</v>
      </c>
      <c r="O41" s="569" t="s">
        <v>129</v>
      </c>
      <c r="P41" s="568" t="s">
        <v>129</v>
      </c>
      <c r="Q41" s="569" t="s">
        <v>129</v>
      </c>
      <c r="R41" s="568" t="s">
        <v>129</v>
      </c>
      <c r="S41" s="569" t="s">
        <v>129</v>
      </c>
      <c r="T41" s="568" t="s">
        <v>129</v>
      </c>
      <c r="U41" s="569" t="s">
        <v>129</v>
      </c>
      <c r="V41" s="568" t="s">
        <v>129</v>
      </c>
      <c r="W41" s="569" t="s">
        <v>129</v>
      </c>
      <c r="X41" s="89">
        <v>1</v>
      </c>
      <c r="Y41" s="536">
        <v>1</v>
      </c>
      <c r="Z41" s="89">
        <v>1</v>
      </c>
      <c r="AA41" s="536">
        <v>1</v>
      </c>
      <c r="AB41" s="89">
        <v>1</v>
      </c>
      <c r="AC41" s="536">
        <v>1</v>
      </c>
      <c r="AD41" s="89">
        <v>1</v>
      </c>
      <c r="AE41" s="536">
        <v>1</v>
      </c>
      <c r="AF41" s="537">
        <v>1</v>
      </c>
      <c r="AG41" s="391" t="s">
        <v>12</v>
      </c>
      <c r="AH41" s="538" t="s">
        <v>12</v>
      </c>
    </row>
    <row r="42" spans="1:34" ht="39.75" customHeight="1" x14ac:dyDescent="0.25">
      <c r="A42" s="562">
        <f t="shared" si="0"/>
        <v>29</v>
      </c>
      <c r="B42" s="563">
        <v>44228</v>
      </c>
      <c r="C42" s="564" t="s">
        <v>570</v>
      </c>
      <c r="D42" s="565" t="s">
        <v>12</v>
      </c>
      <c r="E42" s="528" t="s">
        <v>12</v>
      </c>
      <c r="F42" s="566" t="s">
        <v>230</v>
      </c>
      <c r="G42" s="528" t="s">
        <v>12</v>
      </c>
      <c r="H42" s="530" t="s">
        <v>12</v>
      </c>
      <c r="I42" s="528" t="s">
        <v>12</v>
      </c>
      <c r="J42" s="531" t="s">
        <v>12</v>
      </c>
      <c r="K42" s="538" t="s">
        <v>12</v>
      </c>
      <c r="L42" s="566" t="s">
        <v>230</v>
      </c>
      <c r="M42" s="567" t="s">
        <v>230</v>
      </c>
      <c r="N42" s="568" t="s">
        <v>230</v>
      </c>
      <c r="O42" s="569" t="s">
        <v>230</v>
      </c>
      <c r="P42" s="568" t="s">
        <v>230</v>
      </c>
      <c r="Q42" s="569" t="s">
        <v>230</v>
      </c>
      <c r="R42" s="568" t="s">
        <v>230</v>
      </c>
      <c r="S42" s="569" t="s">
        <v>230</v>
      </c>
      <c r="T42" s="568" t="s">
        <v>230</v>
      </c>
      <c r="U42" s="569" t="s">
        <v>230</v>
      </c>
      <c r="V42" s="568" t="s">
        <v>230</v>
      </c>
      <c r="W42" s="569" t="s">
        <v>230</v>
      </c>
      <c r="X42" s="89">
        <v>1</v>
      </c>
      <c r="Y42" s="536">
        <v>1</v>
      </c>
      <c r="Z42" s="89">
        <v>1</v>
      </c>
      <c r="AA42" s="536">
        <v>1</v>
      </c>
      <c r="AB42" s="89">
        <v>1</v>
      </c>
      <c r="AC42" s="536">
        <v>1</v>
      </c>
      <c r="AD42" s="89">
        <v>1</v>
      </c>
      <c r="AE42" s="536">
        <v>1</v>
      </c>
      <c r="AF42" s="537">
        <v>1</v>
      </c>
      <c r="AG42" s="391" t="s">
        <v>12</v>
      </c>
      <c r="AH42" s="538" t="s">
        <v>558</v>
      </c>
    </row>
    <row r="43" spans="1:34" ht="39.75" customHeight="1" x14ac:dyDescent="0.25">
      <c r="A43" s="562">
        <f t="shared" si="0"/>
        <v>30</v>
      </c>
      <c r="B43" s="563">
        <v>44256</v>
      </c>
      <c r="C43" s="564" t="s">
        <v>571</v>
      </c>
      <c r="D43" s="565" t="s">
        <v>12</v>
      </c>
      <c r="E43" s="528" t="s">
        <v>12</v>
      </c>
      <c r="F43" s="566" t="s">
        <v>129</v>
      </c>
      <c r="G43" s="528" t="s">
        <v>12</v>
      </c>
      <c r="H43" s="530" t="s">
        <v>12</v>
      </c>
      <c r="I43" s="528" t="s">
        <v>12</v>
      </c>
      <c r="J43" s="531" t="s">
        <v>12</v>
      </c>
      <c r="K43" s="538" t="s">
        <v>12</v>
      </c>
      <c r="L43" s="566" t="s">
        <v>129</v>
      </c>
      <c r="M43" s="567" t="s">
        <v>129</v>
      </c>
      <c r="N43" s="568" t="s">
        <v>129</v>
      </c>
      <c r="O43" s="569" t="s">
        <v>129</v>
      </c>
      <c r="P43" s="568" t="s">
        <v>129</v>
      </c>
      <c r="Q43" s="569" t="s">
        <v>129</v>
      </c>
      <c r="R43" s="568" t="s">
        <v>129</v>
      </c>
      <c r="S43" s="569" t="s">
        <v>129</v>
      </c>
      <c r="T43" s="568" t="s">
        <v>129</v>
      </c>
      <c r="U43" s="569" t="s">
        <v>129</v>
      </c>
      <c r="V43" s="568" t="s">
        <v>129</v>
      </c>
      <c r="W43" s="569" t="s">
        <v>129</v>
      </c>
      <c r="X43" s="89">
        <v>1</v>
      </c>
      <c r="Y43" s="536">
        <v>1</v>
      </c>
      <c r="Z43" s="89">
        <v>1</v>
      </c>
      <c r="AA43" s="536">
        <v>1</v>
      </c>
      <c r="AB43" s="89">
        <v>1</v>
      </c>
      <c r="AC43" s="536">
        <v>1</v>
      </c>
      <c r="AD43" s="89">
        <v>1</v>
      </c>
      <c r="AE43" s="536">
        <v>1</v>
      </c>
      <c r="AF43" s="537">
        <v>1</v>
      </c>
      <c r="AG43" s="391" t="s">
        <v>12</v>
      </c>
      <c r="AH43" s="538" t="s">
        <v>558</v>
      </c>
    </row>
    <row r="44" spans="1:34" ht="39.75" customHeight="1" x14ac:dyDescent="0.25">
      <c r="A44" s="562">
        <f t="shared" si="0"/>
        <v>31</v>
      </c>
      <c r="B44" s="563">
        <v>44287</v>
      </c>
      <c r="C44" s="564" t="s">
        <v>570</v>
      </c>
      <c r="D44" s="565" t="s">
        <v>12</v>
      </c>
      <c r="E44" s="528" t="s">
        <v>12</v>
      </c>
      <c r="F44" s="566" t="s">
        <v>129</v>
      </c>
      <c r="G44" s="528" t="s">
        <v>12</v>
      </c>
      <c r="H44" s="530" t="s">
        <v>12</v>
      </c>
      <c r="I44" s="528" t="s">
        <v>12</v>
      </c>
      <c r="J44" s="531" t="s">
        <v>12</v>
      </c>
      <c r="K44" s="538" t="s">
        <v>12</v>
      </c>
      <c r="L44" s="566" t="s">
        <v>129</v>
      </c>
      <c r="M44" s="567" t="s">
        <v>129</v>
      </c>
      <c r="N44" s="568" t="s">
        <v>129</v>
      </c>
      <c r="O44" s="569" t="s">
        <v>129</v>
      </c>
      <c r="P44" s="568" t="s">
        <v>129</v>
      </c>
      <c r="Q44" s="569" t="s">
        <v>129</v>
      </c>
      <c r="R44" s="568" t="s">
        <v>129</v>
      </c>
      <c r="S44" s="569" t="s">
        <v>129</v>
      </c>
      <c r="T44" s="568" t="s">
        <v>129</v>
      </c>
      <c r="U44" s="569" t="s">
        <v>129</v>
      </c>
      <c r="V44" s="568" t="s">
        <v>129</v>
      </c>
      <c r="W44" s="569" t="s">
        <v>129</v>
      </c>
      <c r="X44" s="89">
        <v>1</v>
      </c>
      <c r="Y44" s="536">
        <v>1</v>
      </c>
      <c r="Z44" s="89">
        <v>1</v>
      </c>
      <c r="AA44" s="536">
        <v>1</v>
      </c>
      <c r="AB44" s="89">
        <v>1</v>
      </c>
      <c r="AC44" s="536">
        <v>1</v>
      </c>
      <c r="AD44" s="89">
        <v>1</v>
      </c>
      <c r="AE44" s="536">
        <v>1</v>
      </c>
      <c r="AF44" s="537">
        <v>1</v>
      </c>
      <c r="AG44" s="391" t="s">
        <v>12</v>
      </c>
      <c r="AH44" s="538" t="s">
        <v>558</v>
      </c>
    </row>
    <row r="45" spans="1:34" ht="39.75" customHeight="1" x14ac:dyDescent="0.25">
      <c r="A45" s="562">
        <f t="shared" si="0"/>
        <v>32</v>
      </c>
      <c r="B45" s="563">
        <v>44317</v>
      </c>
      <c r="C45" s="564" t="s">
        <v>571</v>
      </c>
      <c r="D45" s="565" t="s">
        <v>12</v>
      </c>
      <c r="E45" s="528" t="s">
        <v>12</v>
      </c>
      <c r="F45" s="566" t="s">
        <v>230</v>
      </c>
      <c r="G45" s="528" t="s">
        <v>12</v>
      </c>
      <c r="H45" s="530" t="s">
        <v>12</v>
      </c>
      <c r="I45" s="528" t="s">
        <v>12</v>
      </c>
      <c r="J45" s="531" t="s">
        <v>12</v>
      </c>
      <c r="K45" s="538" t="s">
        <v>12</v>
      </c>
      <c r="L45" s="566" t="s">
        <v>230</v>
      </c>
      <c r="M45" s="567" t="s">
        <v>230</v>
      </c>
      <c r="N45" s="568" t="s">
        <v>230</v>
      </c>
      <c r="O45" s="569" t="s">
        <v>230</v>
      </c>
      <c r="P45" s="568" t="s">
        <v>230</v>
      </c>
      <c r="Q45" s="569" t="s">
        <v>230</v>
      </c>
      <c r="R45" s="568" t="s">
        <v>230</v>
      </c>
      <c r="S45" s="569" t="s">
        <v>230</v>
      </c>
      <c r="T45" s="568" t="s">
        <v>230</v>
      </c>
      <c r="U45" s="569" t="s">
        <v>230</v>
      </c>
      <c r="V45" s="568" t="s">
        <v>230</v>
      </c>
      <c r="W45" s="569" t="s">
        <v>230</v>
      </c>
      <c r="X45" s="89">
        <v>1</v>
      </c>
      <c r="Y45" s="536">
        <v>1</v>
      </c>
      <c r="Z45" s="89">
        <v>1</v>
      </c>
      <c r="AA45" s="536">
        <v>1</v>
      </c>
      <c r="AB45" s="89">
        <v>1</v>
      </c>
      <c r="AC45" s="536">
        <v>1</v>
      </c>
      <c r="AD45" s="89">
        <v>1</v>
      </c>
      <c r="AE45" s="536">
        <v>1</v>
      </c>
      <c r="AF45" s="537">
        <v>1</v>
      </c>
      <c r="AG45" s="391" t="s">
        <v>12</v>
      </c>
      <c r="AH45" s="538" t="s">
        <v>558</v>
      </c>
    </row>
    <row r="46" spans="1:34" ht="39.75" customHeight="1" x14ac:dyDescent="0.25">
      <c r="A46" s="562">
        <f t="shared" si="0"/>
        <v>33</v>
      </c>
      <c r="B46" s="563">
        <v>44348</v>
      </c>
      <c r="C46" s="564" t="s">
        <v>572</v>
      </c>
      <c r="D46" s="565" t="s">
        <v>12</v>
      </c>
      <c r="E46" s="528" t="s">
        <v>12</v>
      </c>
      <c r="F46" s="566" t="s">
        <v>129</v>
      </c>
      <c r="G46" s="528" t="s">
        <v>12</v>
      </c>
      <c r="H46" s="530" t="s">
        <v>12</v>
      </c>
      <c r="I46" s="528" t="s">
        <v>12</v>
      </c>
      <c r="J46" s="531" t="s">
        <v>12</v>
      </c>
      <c r="K46" s="538" t="s">
        <v>12</v>
      </c>
      <c r="L46" s="566" t="s">
        <v>129</v>
      </c>
      <c r="M46" s="567" t="s">
        <v>129</v>
      </c>
      <c r="N46" s="568" t="s">
        <v>129</v>
      </c>
      <c r="O46" s="569" t="s">
        <v>129</v>
      </c>
      <c r="P46" s="568" t="s">
        <v>129</v>
      </c>
      <c r="Q46" s="569" t="s">
        <v>129</v>
      </c>
      <c r="R46" s="568" t="s">
        <v>129</v>
      </c>
      <c r="S46" s="569" t="s">
        <v>129</v>
      </c>
      <c r="T46" s="568" t="s">
        <v>129</v>
      </c>
      <c r="U46" s="569" t="s">
        <v>129</v>
      </c>
      <c r="V46" s="568" t="s">
        <v>129</v>
      </c>
      <c r="W46" s="569" t="s">
        <v>129</v>
      </c>
      <c r="X46" s="89">
        <v>1</v>
      </c>
      <c r="Y46" s="536">
        <v>1</v>
      </c>
      <c r="Z46" s="89">
        <v>1</v>
      </c>
      <c r="AA46" s="536">
        <v>1</v>
      </c>
      <c r="AB46" s="89">
        <v>1</v>
      </c>
      <c r="AC46" s="536">
        <v>1</v>
      </c>
      <c r="AD46" s="89">
        <v>1</v>
      </c>
      <c r="AE46" s="536">
        <v>1</v>
      </c>
      <c r="AF46" s="537">
        <v>1</v>
      </c>
      <c r="AG46" s="391" t="s">
        <v>12</v>
      </c>
      <c r="AH46" s="538" t="s">
        <v>558</v>
      </c>
    </row>
    <row r="47" spans="1:34" ht="39.75" customHeight="1" x14ac:dyDescent="0.25">
      <c r="A47" s="562">
        <f t="shared" si="0"/>
        <v>34</v>
      </c>
      <c r="B47" s="563">
        <v>44378</v>
      </c>
      <c r="C47" s="564" t="s">
        <v>573</v>
      </c>
      <c r="D47" s="565" t="s">
        <v>12</v>
      </c>
      <c r="E47" s="528" t="s">
        <v>12</v>
      </c>
      <c r="F47" s="566" t="s">
        <v>230</v>
      </c>
      <c r="G47" s="528" t="s">
        <v>12</v>
      </c>
      <c r="H47" s="530" t="s">
        <v>12</v>
      </c>
      <c r="I47" s="528" t="s">
        <v>12</v>
      </c>
      <c r="J47" s="531" t="s">
        <v>12</v>
      </c>
      <c r="K47" s="538" t="s">
        <v>12</v>
      </c>
      <c r="L47" s="566" t="s">
        <v>230</v>
      </c>
      <c r="M47" s="567" t="s">
        <v>230</v>
      </c>
      <c r="N47" s="568" t="s">
        <v>230</v>
      </c>
      <c r="O47" s="569" t="s">
        <v>230</v>
      </c>
      <c r="P47" s="568" t="s">
        <v>230</v>
      </c>
      <c r="Q47" s="569" t="s">
        <v>230</v>
      </c>
      <c r="R47" s="568" t="s">
        <v>230</v>
      </c>
      <c r="S47" s="569" t="s">
        <v>230</v>
      </c>
      <c r="T47" s="568" t="s">
        <v>230</v>
      </c>
      <c r="U47" s="569" t="s">
        <v>230</v>
      </c>
      <c r="V47" s="568" t="s">
        <v>230</v>
      </c>
      <c r="W47" s="569" t="s">
        <v>230</v>
      </c>
      <c r="X47" s="89">
        <v>1</v>
      </c>
      <c r="Y47" s="536">
        <v>1</v>
      </c>
      <c r="Z47" s="89">
        <v>1</v>
      </c>
      <c r="AA47" s="536">
        <v>1</v>
      </c>
      <c r="AB47" s="89">
        <v>1</v>
      </c>
      <c r="AC47" s="536">
        <v>1</v>
      </c>
      <c r="AD47" s="89">
        <v>1</v>
      </c>
      <c r="AE47" s="536">
        <v>1</v>
      </c>
      <c r="AF47" s="537">
        <v>1</v>
      </c>
      <c r="AG47" s="391" t="s">
        <v>12</v>
      </c>
      <c r="AH47" s="538" t="s">
        <v>12</v>
      </c>
    </row>
    <row r="48" spans="1:34" ht="39.75" customHeight="1" x14ac:dyDescent="0.25">
      <c r="A48" s="562">
        <f t="shared" si="0"/>
        <v>35</v>
      </c>
      <c r="B48" s="563">
        <v>44409</v>
      </c>
      <c r="C48" s="564" t="s">
        <v>570</v>
      </c>
      <c r="D48" s="565" t="s">
        <v>12</v>
      </c>
      <c r="E48" s="528" t="s">
        <v>12</v>
      </c>
      <c r="F48" s="566" t="s">
        <v>129</v>
      </c>
      <c r="G48" s="528" t="s">
        <v>12</v>
      </c>
      <c r="H48" s="530" t="s">
        <v>12</v>
      </c>
      <c r="I48" s="528" t="s">
        <v>12</v>
      </c>
      <c r="J48" s="531" t="s">
        <v>12</v>
      </c>
      <c r="K48" s="538" t="s">
        <v>12</v>
      </c>
      <c r="L48" s="566" t="s">
        <v>129</v>
      </c>
      <c r="M48" s="567" t="s">
        <v>129</v>
      </c>
      <c r="N48" s="568" t="s">
        <v>129</v>
      </c>
      <c r="O48" s="569" t="s">
        <v>129</v>
      </c>
      <c r="P48" s="568" t="s">
        <v>129</v>
      </c>
      <c r="Q48" s="569" t="s">
        <v>129</v>
      </c>
      <c r="R48" s="568" t="s">
        <v>129</v>
      </c>
      <c r="S48" s="569" t="s">
        <v>129</v>
      </c>
      <c r="T48" s="568" t="s">
        <v>129</v>
      </c>
      <c r="U48" s="569" t="s">
        <v>129</v>
      </c>
      <c r="V48" s="568" t="s">
        <v>129</v>
      </c>
      <c r="W48" s="569" t="s">
        <v>129</v>
      </c>
      <c r="X48" s="89">
        <v>1</v>
      </c>
      <c r="Y48" s="536">
        <v>1</v>
      </c>
      <c r="Z48" s="89">
        <v>1</v>
      </c>
      <c r="AA48" s="536">
        <v>1</v>
      </c>
      <c r="AB48" s="89">
        <v>1</v>
      </c>
      <c r="AC48" s="536">
        <v>1</v>
      </c>
      <c r="AD48" s="89">
        <v>1</v>
      </c>
      <c r="AE48" s="536">
        <v>1</v>
      </c>
      <c r="AF48" s="537">
        <v>1</v>
      </c>
      <c r="AG48" s="391" t="s">
        <v>12</v>
      </c>
      <c r="AH48" s="538" t="s">
        <v>12</v>
      </c>
    </row>
    <row r="49" spans="1:34" ht="39.75" customHeight="1" x14ac:dyDescent="0.25">
      <c r="A49" s="562">
        <f t="shared" si="0"/>
        <v>36</v>
      </c>
      <c r="B49" s="563">
        <v>44440</v>
      </c>
      <c r="C49" s="564" t="s">
        <v>571</v>
      </c>
      <c r="D49" s="565" t="s">
        <v>12</v>
      </c>
      <c r="E49" s="528" t="s">
        <v>12</v>
      </c>
      <c r="F49" s="566" t="s">
        <v>230</v>
      </c>
      <c r="G49" s="528" t="s">
        <v>12</v>
      </c>
      <c r="H49" s="530" t="s">
        <v>12</v>
      </c>
      <c r="I49" s="528" t="s">
        <v>12</v>
      </c>
      <c r="J49" s="531" t="s">
        <v>12</v>
      </c>
      <c r="K49" s="538" t="s">
        <v>12</v>
      </c>
      <c r="L49" s="566" t="s">
        <v>230</v>
      </c>
      <c r="M49" s="567" t="s">
        <v>230</v>
      </c>
      <c r="N49" s="568" t="s">
        <v>230</v>
      </c>
      <c r="O49" s="569" t="s">
        <v>230</v>
      </c>
      <c r="P49" s="568" t="s">
        <v>230</v>
      </c>
      <c r="Q49" s="569" t="s">
        <v>230</v>
      </c>
      <c r="R49" s="568" t="s">
        <v>230</v>
      </c>
      <c r="S49" s="569" t="s">
        <v>230</v>
      </c>
      <c r="T49" s="568" t="s">
        <v>230</v>
      </c>
      <c r="U49" s="569" t="s">
        <v>230</v>
      </c>
      <c r="V49" s="568" t="s">
        <v>230</v>
      </c>
      <c r="W49" s="569" t="s">
        <v>230</v>
      </c>
      <c r="X49" s="89">
        <v>1</v>
      </c>
      <c r="Y49" s="536">
        <v>1</v>
      </c>
      <c r="Z49" s="89">
        <v>1</v>
      </c>
      <c r="AA49" s="536">
        <v>1</v>
      </c>
      <c r="AB49" s="89">
        <v>1</v>
      </c>
      <c r="AC49" s="536">
        <v>1</v>
      </c>
      <c r="AD49" s="89">
        <v>1</v>
      </c>
      <c r="AE49" s="536">
        <v>1</v>
      </c>
      <c r="AF49" s="537">
        <v>1</v>
      </c>
      <c r="AG49" s="391" t="s">
        <v>12</v>
      </c>
      <c r="AH49" s="538" t="s">
        <v>558</v>
      </c>
    </row>
    <row r="50" spans="1:34" ht="39.75" customHeight="1" x14ac:dyDescent="0.25">
      <c r="A50" s="562">
        <f t="shared" si="0"/>
        <v>37</v>
      </c>
      <c r="B50" s="563">
        <v>44105</v>
      </c>
      <c r="C50" s="564" t="s">
        <v>572</v>
      </c>
      <c r="D50" s="565" t="s">
        <v>12</v>
      </c>
      <c r="E50" s="528" t="s">
        <v>12</v>
      </c>
      <c r="F50" s="566" t="s">
        <v>129</v>
      </c>
      <c r="G50" s="528" t="s">
        <v>12</v>
      </c>
      <c r="H50" s="530" t="s">
        <v>12</v>
      </c>
      <c r="I50" s="528" t="s">
        <v>12</v>
      </c>
      <c r="J50" s="531" t="s">
        <v>12</v>
      </c>
      <c r="K50" s="538" t="s">
        <v>12</v>
      </c>
      <c r="L50" s="566" t="s">
        <v>129</v>
      </c>
      <c r="M50" s="567" t="s">
        <v>129</v>
      </c>
      <c r="N50" s="568" t="s">
        <v>129</v>
      </c>
      <c r="O50" s="569" t="s">
        <v>129</v>
      </c>
      <c r="P50" s="568" t="s">
        <v>129</v>
      </c>
      <c r="Q50" s="569" t="s">
        <v>129</v>
      </c>
      <c r="R50" s="568" t="s">
        <v>129</v>
      </c>
      <c r="S50" s="569" t="s">
        <v>129</v>
      </c>
      <c r="T50" s="568" t="s">
        <v>129</v>
      </c>
      <c r="U50" s="569" t="s">
        <v>129</v>
      </c>
      <c r="V50" s="568" t="s">
        <v>129</v>
      </c>
      <c r="W50" s="569" t="s">
        <v>129</v>
      </c>
      <c r="X50" s="89">
        <v>1</v>
      </c>
      <c r="Y50" s="536">
        <v>1</v>
      </c>
      <c r="Z50" s="89">
        <v>1</v>
      </c>
      <c r="AA50" s="536">
        <v>1</v>
      </c>
      <c r="AB50" s="89">
        <v>1</v>
      </c>
      <c r="AC50" s="536">
        <v>1</v>
      </c>
      <c r="AD50" s="89">
        <v>1</v>
      </c>
      <c r="AE50" s="536">
        <v>1</v>
      </c>
      <c r="AF50" s="537">
        <v>1</v>
      </c>
      <c r="AG50" s="391" t="s">
        <v>12</v>
      </c>
      <c r="AH50" s="538" t="s">
        <v>558</v>
      </c>
    </row>
    <row r="51" spans="1:34" ht="39.75" customHeight="1" x14ac:dyDescent="0.25">
      <c r="A51" s="562">
        <f t="shared" si="0"/>
        <v>38</v>
      </c>
      <c r="B51" s="563">
        <v>44136</v>
      </c>
      <c r="C51" s="564" t="s">
        <v>573</v>
      </c>
      <c r="D51" s="565" t="s">
        <v>12</v>
      </c>
      <c r="E51" s="528" t="s">
        <v>12</v>
      </c>
      <c r="F51" s="566" t="s">
        <v>129</v>
      </c>
      <c r="G51" s="528" t="s">
        <v>12</v>
      </c>
      <c r="H51" s="530" t="s">
        <v>12</v>
      </c>
      <c r="I51" s="528" t="s">
        <v>12</v>
      </c>
      <c r="J51" s="531" t="s">
        <v>12</v>
      </c>
      <c r="K51" s="538" t="s">
        <v>12</v>
      </c>
      <c r="L51" s="566" t="s">
        <v>129</v>
      </c>
      <c r="M51" s="567" t="s">
        <v>129</v>
      </c>
      <c r="N51" s="568" t="s">
        <v>129</v>
      </c>
      <c r="O51" s="569" t="s">
        <v>129</v>
      </c>
      <c r="P51" s="568" t="s">
        <v>129</v>
      </c>
      <c r="Q51" s="569" t="s">
        <v>129</v>
      </c>
      <c r="R51" s="568" t="s">
        <v>129</v>
      </c>
      <c r="S51" s="569" t="s">
        <v>129</v>
      </c>
      <c r="T51" s="568" t="s">
        <v>129</v>
      </c>
      <c r="U51" s="569" t="s">
        <v>129</v>
      </c>
      <c r="V51" s="568" t="s">
        <v>129</v>
      </c>
      <c r="W51" s="569" t="s">
        <v>129</v>
      </c>
      <c r="X51" s="89">
        <v>1</v>
      </c>
      <c r="Y51" s="536">
        <v>1</v>
      </c>
      <c r="Z51" s="89">
        <v>1</v>
      </c>
      <c r="AA51" s="536">
        <v>1</v>
      </c>
      <c r="AB51" s="89">
        <v>1</v>
      </c>
      <c r="AC51" s="536">
        <v>1</v>
      </c>
      <c r="AD51" s="89">
        <v>1</v>
      </c>
      <c r="AE51" s="536">
        <v>1</v>
      </c>
      <c r="AF51" s="537">
        <v>1</v>
      </c>
      <c r="AG51" s="391" t="s">
        <v>12</v>
      </c>
      <c r="AH51" s="538" t="s">
        <v>558</v>
      </c>
    </row>
    <row r="52" spans="1:34" ht="39.75" customHeight="1" x14ac:dyDescent="0.25">
      <c r="A52" s="562">
        <f t="shared" si="0"/>
        <v>39</v>
      </c>
      <c r="B52" s="563">
        <v>44166</v>
      </c>
      <c r="C52" s="564" t="s">
        <v>570</v>
      </c>
      <c r="D52" s="565" t="s">
        <v>12</v>
      </c>
      <c r="E52" s="528" t="s">
        <v>12</v>
      </c>
      <c r="F52" s="566" t="s">
        <v>230</v>
      </c>
      <c r="G52" s="528" t="s">
        <v>12</v>
      </c>
      <c r="H52" s="530" t="s">
        <v>12</v>
      </c>
      <c r="I52" s="528" t="s">
        <v>12</v>
      </c>
      <c r="J52" s="531" t="s">
        <v>12</v>
      </c>
      <c r="K52" s="538" t="s">
        <v>12</v>
      </c>
      <c r="L52" s="566" t="s">
        <v>230</v>
      </c>
      <c r="M52" s="567" t="s">
        <v>230</v>
      </c>
      <c r="N52" s="568" t="s">
        <v>230</v>
      </c>
      <c r="O52" s="569" t="s">
        <v>230</v>
      </c>
      <c r="P52" s="568" t="s">
        <v>230</v>
      </c>
      <c r="Q52" s="569" t="s">
        <v>230</v>
      </c>
      <c r="R52" s="568" t="s">
        <v>230</v>
      </c>
      <c r="S52" s="569" t="s">
        <v>230</v>
      </c>
      <c r="T52" s="568" t="s">
        <v>230</v>
      </c>
      <c r="U52" s="569" t="s">
        <v>230</v>
      </c>
      <c r="V52" s="568" t="s">
        <v>230</v>
      </c>
      <c r="W52" s="569" t="s">
        <v>230</v>
      </c>
      <c r="X52" s="89">
        <v>1</v>
      </c>
      <c r="Y52" s="536">
        <v>1</v>
      </c>
      <c r="Z52" s="89">
        <v>1</v>
      </c>
      <c r="AA52" s="536">
        <v>1</v>
      </c>
      <c r="AB52" s="89">
        <v>1</v>
      </c>
      <c r="AC52" s="536">
        <v>1</v>
      </c>
      <c r="AD52" s="89">
        <v>1</v>
      </c>
      <c r="AE52" s="536">
        <v>1</v>
      </c>
      <c r="AF52" s="537">
        <v>1</v>
      </c>
      <c r="AG52" s="391" t="s">
        <v>12</v>
      </c>
      <c r="AH52" s="538" t="s">
        <v>558</v>
      </c>
    </row>
    <row r="53" spans="1:34" ht="39.75" customHeight="1" x14ac:dyDescent="0.25">
      <c r="A53" s="562">
        <f t="shared" si="0"/>
        <v>40</v>
      </c>
      <c r="B53" s="563">
        <v>44197</v>
      </c>
      <c r="C53" s="564" t="s">
        <v>571</v>
      </c>
      <c r="D53" s="565" t="s">
        <v>12</v>
      </c>
      <c r="E53" s="528" t="s">
        <v>12</v>
      </c>
      <c r="F53" s="566" t="s">
        <v>129</v>
      </c>
      <c r="G53" s="528" t="s">
        <v>12</v>
      </c>
      <c r="H53" s="530" t="s">
        <v>12</v>
      </c>
      <c r="I53" s="528" t="s">
        <v>12</v>
      </c>
      <c r="J53" s="531" t="s">
        <v>12</v>
      </c>
      <c r="K53" s="538" t="s">
        <v>12</v>
      </c>
      <c r="L53" s="566" t="s">
        <v>129</v>
      </c>
      <c r="M53" s="567" t="s">
        <v>129</v>
      </c>
      <c r="N53" s="568" t="s">
        <v>129</v>
      </c>
      <c r="O53" s="569" t="s">
        <v>129</v>
      </c>
      <c r="P53" s="568" t="s">
        <v>129</v>
      </c>
      <c r="Q53" s="569" t="s">
        <v>129</v>
      </c>
      <c r="R53" s="568" t="s">
        <v>129</v>
      </c>
      <c r="S53" s="569" t="s">
        <v>129</v>
      </c>
      <c r="T53" s="568" t="s">
        <v>129</v>
      </c>
      <c r="U53" s="569" t="s">
        <v>129</v>
      </c>
      <c r="V53" s="568" t="s">
        <v>129</v>
      </c>
      <c r="W53" s="569" t="s">
        <v>129</v>
      </c>
      <c r="X53" s="89">
        <v>1</v>
      </c>
      <c r="Y53" s="536">
        <v>1</v>
      </c>
      <c r="Z53" s="89">
        <v>1</v>
      </c>
      <c r="AA53" s="536">
        <v>1</v>
      </c>
      <c r="AB53" s="89">
        <v>1</v>
      </c>
      <c r="AC53" s="536">
        <v>1</v>
      </c>
      <c r="AD53" s="89">
        <v>1</v>
      </c>
      <c r="AE53" s="536">
        <v>1</v>
      </c>
      <c r="AF53" s="537">
        <v>1</v>
      </c>
      <c r="AG53" s="391" t="s">
        <v>12</v>
      </c>
      <c r="AH53" s="538" t="s">
        <v>12</v>
      </c>
    </row>
    <row r="54" spans="1:34" ht="39.75" customHeight="1" x14ac:dyDescent="0.25">
      <c r="A54" s="562">
        <f t="shared" si="0"/>
        <v>41</v>
      </c>
      <c r="B54" s="563">
        <v>44228</v>
      </c>
      <c r="C54" s="564" t="s">
        <v>570</v>
      </c>
      <c r="D54" s="565" t="s">
        <v>12</v>
      </c>
      <c r="E54" s="528" t="s">
        <v>12</v>
      </c>
      <c r="F54" s="566" t="s">
        <v>129</v>
      </c>
      <c r="G54" s="528" t="s">
        <v>12</v>
      </c>
      <c r="H54" s="530" t="s">
        <v>12</v>
      </c>
      <c r="I54" s="528" t="s">
        <v>12</v>
      </c>
      <c r="J54" s="531" t="s">
        <v>12</v>
      </c>
      <c r="K54" s="538" t="s">
        <v>12</v>
      </c>
      <c r="L54" s="566" t="s">
        <v>129</v>
      </c>
      <c r="M54" s="567" t="s">
        <v>129</v>
      </c>
      <c r="N54" s="568" t="s">
        <v>129</v>
      </c>
      <c r="O54" s="569" t="s">
        <v>129</v>
      </c>
      <c r="P54" s="568" t="s">
        <v>129</v>
      </c>
      <c r="Q54" s="569" t="s">
        <v>129</v>
      </c>
      <c r="R54" s="568" t="s">
        <v>129</v>
      </c>
      <c r="S54" s="569" t="s">
        <v>129</v>
      </c>
      <c r="T54" s="568" t="s">
        <v>129</v>
      </c>
      <c r="U54" s="569" t="s">
        <v>129</v>
      </c>
      <c r="V54" s="568" t="s">
        <v>129</v>
      </c>
      <c r="W54" s="569" t="s">
        <v>129</v>
      </c>
      <c r="X54" s="89">
        <v>1</v>
      </c>
      <c r="Y54" s="536">
        <v>1</v>
      </c>
      <c r="Z54" s="89">
        <v>1</v>
      </c>
      <c r="AA54" s="536">
        <v>1</v>
      </c>
      <c r="AB54" s="89">
        <v>1</v>
      </c>
      <c r="AC54" s="536">
        <v>1</v>
      </c>
      <c r="AD54" s="89">
        <v>1</v>
      </c>
      <c r="AE54" s="536">
        <v>1</v>
      </c>
      <c r="AF54" s="537">
        <v>1</v>
      </c>
      <c r="AG54" s="391" t="s">
        <v>12</v>
      </c>
      <c r="AH54" s="538" t="s">
        <v>558</v>
      </c>
    </row>
    <row r="55" spans="1:34" ht="39.75" customHeight="1" x14ac:dyDescent="0.25">
      <c r="A55" s="562">
        <f t="shared" si="0"/>
        <v>42</v>
      </c>
      <c r="B55" s="563">
        <v>44256</v>
      </c>
      <c r="C55" s="564" t="s">
        <v>571</v>
      </c>
      <c r="D55" s="565" t="s">
        <v>12</v>
      </c>
      <c r="E55" s="528" t="s">
        <v>12</v>
      </c>
      <c r="F55" s="566" t="s">
        <v>230</v>
      </c>
      <c r="G55" s="528" t="s">
        <v>12</v>
      </c>
      <c r="H55" s="530" t="s">
        <v>12</v>
      </c>
      <c r="I55" s="528" t="s">
        <v>12</v>
      </c>
      <c r="J55" s="531" t="s">
        <v>12</v>
      </c>
      <c r="K55" s="538" t="s">
        <v>12</v>
      </c>
      <c r="L55" s="566" t="s">
        <v>230</v>
      </c>
      <c r="M55" s="567" t="s">
        <v>230</v>
      </c>
      <c r="N55" s="568" t="s">
        <v>230</v>
      </c>
      <c r="O55" s="569" t="s">
        <v>230</v>
      </c>
      <c r="P55" s="568" t="s">
        <v>230</v>
      </c>
      <c r="Q55" s="569" t="s">
        <v>230</v>
      </c>
      <c r="R55" s="568" t="s">
        <v>230</v>
      </c>
      <c r="S55" s="569" t="s">
        <v>230</v>
      </c>
      <c r="T55" s="568" t="s">
        <v>230</v>
      </c>
      <c r="U55" s="569" t="s">
        <v>230</v>
      </c>
      <c r="V55" s="568" t="s">
        <v>230</v>
      </c>
      <c r="W55" s="569" t="s">
        <v>230</v>
      </c>
      <c r="X55" s="89">
        <v>1</v>
      </c>
      <c r="Y55" s="536">
        <v>1</v>
      </c>
      <c r="Z55" s="89">
        <v>1</v>
      </c>
      <c r="AA55" s="536">
        <v>1</v>
      </c>
      <c r="AB55" s="89">
        <v>1</v>
      </c>
      <c r="AC55" s="536">
        <v>1</v>
      </c>
      <c r="AD55" s="89">
        <v>1</v>
      </c>
      <c r="AE55" s="536">
        <v>1</v>
      </c>
      <c r="AF55" s="537">
        <v>1</v>
      </c>
      <c r="AG55" s="391" t="s">
        <v>12</v>
      </c>
      <c r="AH55" s="538" t="s">
        <v>558</v>
      </c>
    </row>
    <row r="56" spans="1:34" ht="39.75" customHeight="1" x14ac:dyDescent="0.25">
      <c r="A56" s="562">
        <f t="shared" si="0"/>
        <v>43</v>
      </c>
      <c r="B56" s="563">
        <v>44287</v>
      </c>
      <c r="C56" s="564" t="s">
        <v>572</v>
      </c>
      <c r="D56" s="565" t="s">
        <v>12</v>
      </c>
      <c r="E56" s="528" t="s">
        <v>12</v>
      </c>
      <c r="F56" s="566" t="s">
        <v>129</v>
      </c>
      <c r="G56" s="528" t="s">
        <v>12</v>
      </c>
      <c r="H56" s="530" t="s">
        <v>12</v>
      </c>
      <c r="I56" s="528" t="s">
        <v>12</v>
      </c>
      <c r="J56" s="531" t="s">
        <v>12</v>
      </c>
      <c r="K56" s="538" t="s">
        <v>12</v>
      </c>
      <c r="L56" s="566" t="s">
        <v>129</v>
      </c>
      <c r="M56" s="567" t="s">
        <v>129</v>
      </c>
      <c r="N56" s="568" t="s">
        <v>129</v>
      </c>
      <c r="O56" s="569" t="s">
        <v>129</v>
      </c>
      <c r="P56" s="568" t="s">
        <v>129</v>
      </c>
      <c r="Q56" s="569" t="s">
        <v>129</v>
      </c>
      <c r="R56" s="568" t="s">
        <v>129</v>
      </c>
      <c r="S56" s="569" t="s">
        <v>129</v>
      </c>
      <c r="T56" s="568" t="s">
        <v>129</v>
      </c>
      <c r="U56" s="569" t="s">
        <v>129</v>
      </c>
      <c r="V56" s="568" t="s">
        <v>129</v>
      </c>
      <c r="W56" s="569" t="s">
        <v>129</v>
      </c>
      <c r="X56" s="89">
        <v>1</v>
      </c>
      <c r="Y56" s="536">
        <v>1</v>
      </c>
      <c r="Z56" s="89">
        <v>1</v>
      </c>
      <c r="AA56" s="536">
        <v>1</v>
      </c>
      <c r="AB56" s="89">
        <v>1</v>
      </c>
      <c r="AC56" s="536">
        <v>1</v>
      </c>
      <c r="AD56" s="89">
        <v>1</v>
      </c>
      <c r="AE56" s="536">
        <v>1</v>
      </c>
      <c r="AF56" s="537">
        <v>1</v>
      </c>
      <c r="AG56" s="391" t="s">
        <v>12</v>
      </c>
      <c r="AH56" s="538" t="s">
        <v>558</v>
      </c>
    </row>
    <row r="57" spans="1:34" ht="39.75" customHeight="1" x14ac:dyDescent="0.25">
      <c r="A57" s="562">
        <f t="shared" si="0"/>
        <v>44</v>
      </c>
      <c r="B57" s="563">
        <v>44317</v>
      </c>
      <c r="C57" s="564" t="s">
        <v>573</v>
      </c>
      <c r="D57" s="565" t="s">
        <v>12</v>
      </c>
      <c r="E57" s="528" t="s">
        <v>12</v>
      </c>
      <c r="F57" s="566" t="s">
        <v>230</v>
      </c>
      <c r="G57" s="528" t="s">
        <v>12</v>
      </c>
      <c r="H57" s="530" t="s">
        <v>12</v>
      </c>
      <c r="I57" s="528" t="s">
        <v>12</v>
      </c>
      <c r="J57" s="531" t="s">
        <v>12</v>
      </c>
      <c r="K57" s="538" t="s">
        <v>12</v>
      </c>
      <c r="L57" s="566" t="s">
        <v>230</v>
      </c>
      <c r="M57" s="567" t="s">
        <v>230</v>
      </c>
      <c r="N57" s="568" t="s">
        <v>230</v>
      </c>
      <c r="O57" s="569" t="s">
        <v>230</v>
      </c>
      <c r="P57" s="568" t="s">
        <v>230</v>
      </c>
      <c r="Q57" s="569" t="s">
        <v>230</v>
      </c>
      <c r="R57" s="568" t="s">
        <v>230</v>
      </c>
      <c r="S57" s="569" t="s">
        <v>230</v>
      </c>
      <c r="T57" s="568" t="s">
        <v>230</v>
      </c>
      <c r="U57" s="569" t="s">
        <v>230</v>
      </c>
      <c r="V57" s="568" t="s">
        <v>230</v>
      </c>
      <c r="W57" s="569" t="s">
        <v>230</v>
      </c>
      <c r="X57" s="89">
        <v>1</v>
      </c>
      <c r="Y57" s="536">
        <v>1</v>
      </c>
      <c r="Z57" s="89">
        <v>1</v>
      </c>
      <c r="AA57" s="536">
        <v>1</v>
      </c>
      <c r="AB57" s="89">
        <v>1</v>
      </c>
      <c r="AC57" s="536">
        <v>1</v>
      </c>
      <c r="AD57" s="89">
        <v>1</v>
      </c>
      <c r="AE57" s="536">
        <v>1</v>
      </c>
      <c r="AF57" s="537">
        <v>1</v>
      </c>
      <c r="AG57" s="391" t="s">
        <v>12</v>
      </c>
      <c r="AH57" s="538" t="s">
        <v>558</v>
      </c>
    </row>
    <row r="58" spans="1:34" ht="39.75" customHeight="1" x14ac:dyDescent="0.25">
      <c r="A58" s="562">
        <f t="shared" si="0"/>
        <v>45</v>
      </c>
      <c r="B58" s="563">
        <v>44348</v>
      </c>
      <c r="C58" s="564" t="s">
        <v>570</v>
      </c>
      <c r="D58" s="565" t="s">
        <v>12</v>
      </c>
      <c r="E58" s="528" t="s">
        <v>12</v>
      </c>
      <c r="F58" s="566" t="s">
        <v>129</v>
      </c>
      <c r="G58" s="528" t="s">
        <v>12</v>
      </c>
      <c r="H58" s="530" t="s">
        <v>12</v>
      </c>
      <c r="I58" s="528" t="s">
        <v>12</v>
      </c>
      <c r="J58" s="531" t="s">
        <v>12</v>
      </c>
      <c r="K58" s="538" t="s">
        <v>12</v>
      </c>
      <c r="L58" s="566" t="s">
        <v>129</v>
      </c>
      <c r="M58" s="567" t="s">
        <v>129</v>
      </c>
      <c r="N58" s="568" t="s">
        <v>129</v>
      </c>
      <c r="O58" s="569" t="s">
        <v>129</v>
      </c>
      <c r="P58" s="568" t="s">
        <v>129</v>
      </c>
      <c r="Q58" s="569" t="s">
        <v>129</v>
      </c>
      <c r="R58" s="568" t="s">
        <v>129</v>
      </c>
      <c r="S58" s="569" t="s">
        <v>129</v>
      </c>
      <c r="T58" s="568" t="s">
        <v>129</v>
      </c>
      <c r="U58" s="569" t="s">
        <v>129</v>
      </c>
      <c r="V58" s="568" t="s">
        <v>129</v>
      </c>
      <c r="W58" s="569" t="s">
        <v>129</v>
      </c>
      <c r="X58" s="89">
        <v>1</v>
      </c>
      <c r="Y58" s="536">
        <v>1</v>
      </c>
      <c r="Z58" s="89">
        <v>1</v>
      </c>
      <c r="AA58" s="536">
        <v>1</v>
      </c>
      <c r="AB58" s="89">
        <v>1</v>
      </c>
      <c r="AC58" s="536">
        <v>1</v>
      </c>
      <c r="AD58" s="89">
        <v>1</v>
      </c>
      <c r="AE58" s="536">
        <v>1</v>
      </c>
      <c r="AF58" s="537">
        <v>1</v>
      </c>
      <c r="AG58" s="391" t="s">
        <v>12</v>
      </c>
      <c r="AH58" s="538" t="s">
        <v>558</v>
      </c>
    </row>
    <row r="59" spans="1:34" ht="39.75" customHeight="1" x14ac:dyDescent="0.25">
      <c r="A59" s="562">
        <f t="shared" si="0"/>
        <v>46</v>
      </c>
      <c r="B59" s="563">
        <v>44378</v>
      </c>
      <c r="C59" s="564" t="s">
        <v>571</v>
      </c>
      <c r="D59" s="565" t="s">
        <v>12</v>
      </c>
      <c r="E59" s="528" t="s">
        <v>12</v>
      </c>
      <c r="F59" s="566" t="s">
        <v>230</v>
      </c>
      <c r="G59" s="528" t="s">
        <v>12</v>
      </c>
      <c r="H59" s="530" t="s">
        <v>12</v>
      </c>
      <c r="I59" s="528" t="s">
        <v>12</v>
      </c>
      <c r="J59" s="531" t="s">
        <v>12</v>
      </c>
      <c r="K59" s="538" t="s">
        <v>12</v>
      </c>
      <c r="L59" s="566" t="s">
        <v>230</v>
      </c>
      <c r="M59" s="567" t="s">
        <v>230</v>
      </c>
      <c r="N59" s="568" t="s">
        <v>230</v>
      </c>
      <c r="O59" s="569" t="s">
        <v>230</v>
      </c>
      <c r="P59" s="568" t="s">
        <v>230</v>
      </c>
      <c r="Q59" s="569" t="s">
        <v>230</v>
      </c>
      <c r="R59" s="568" t="s">
        <v>230</v>
      </c>
      <c r="S59" s="569" t="s">
        <v>230</v>
      </c>
      <c r="T59" s="568" t="s">
        <v>230</v>
      </c>
      <c r="U59" s="569" t="s">
        <v>230</v>
      </c>
      <c r="V59" s="568" t="s">
        <v>230</v>
      </c>
      <c r="W59" s="569" t="s">
        <v>230</v>
      </c>
      <c r="X59" s="89">
        <v>1</v>
      </c>
      <c r="Y59" s="536">
        <v>1</v>
      </c>
      <c r="Z59" s="89">
        <v>1</v>
      </c>
      <c r="AA59" s="536">
        <v>1</v>
      </c>
      <c r="AB59" s="89">
        <v>1</v>
      </c>
      <c r="AC59" s="536">
        <v>1</v>
      </c>
      <c r="AD59" s="89">
        <v>1</v>
      </c>
      <c r="AE59" s="536">
        <v>1</v>
      </c>
      <c r="AF59" s="537">
        <v>1</v>
      </c>
      <c r="AG59" s="391" t="s">
        <v>12</v>
      </c>
      <c r="AH59" s="538" t="s">
        <v>12</v>
      </c>
    </row>
    <row r="60" spans="1:34" ht="39.75" customHeight="1" x14ac:dyDescent="0.25">
      <c r="A60" s="562">
        <f t="shared" si="0"/>
        <v>47</v>
      </c>
      <c r="B60" s="563">
        <v>44409</v>
      </c>
      <c r="C60" s="564" t="s">
        <v>572</v>
      </c>
      <c r="D60" s="565" t="s">
        <v>12</v>
      </c>
      <c r="E60" s="528" t="s">
        <v>12</v>
      </c>
      <c r="F60" s="566" t="s">
        <v>129</v>
      </c>
      <c r="G60" s="528" t="s">
        <v>12</v>
      </c>
      <c r="H60" s="530" t="s">
        <v>12</v>
      </c>
      <c r="I60" s="528" t="s">
        <v>12</v>
      </c>
      <c r="J60" s="531" t="s">
        <v>12</v>
      </c>
      <c r="K60" s="538" t="s">
        <v>12</v>
      </c>
      <c r="L60" s="566" t="s">
        <v>129</v>
      </c>
      <c r="M60" s="567" t="s">
        <v>129</v>
      </c>
      <c r="N60" s="568" t="s">
        <v>129</v>
      </c>
      <c r="O60" s="569" t="s">
        <v>129</v>
      </c>
      <c r="P60" s="568" t="s">
        <v>129</v>
      </c>
      <c r="Q60" s="569" t="s">
        <v>129</v>
      </c>
      <c r="R60" s="568" t="s">
        <v>129</v>
      </c>
      <c r="S60" s="569" t="s">
        <v>129</v>
      </c>
      <c r="T60" s="568" t="s">
        <v>129</v>
      </c>
      <c r="U60" s="569" t="s">
        <v>129</v>
      </c>
      <c r="V60" s="568" t="s">
        <v>129</v>
      </c>
      <c r="W60" s="569" t="s">
        <v>129</v>
      </c>
      <c r="X60" s="89">
        <v>1</v>
      </c>
      <c r="Y60" s="536">
        <v>1</v>
      </c>
      <c r="Z60" s="89">
        <v>1</v>
      </c>
      <c r="AA60" s="536">
        <v>1</v>
      </c>
      <c r="AB60" s="89">
        <v>1</v>
      </c>
      <c r="AC60" s="536">
        <v>1</v>
      </c>
      <c r="AD60" s="89">
        <v>1</v>
      </c>
      <c r="AE60" s="536">
        <v>1</v>
      </c>
      <c r="AF60" s="537">
        <v>1</v>
      </c>
      <c r="AG60" s="391" t="s">
        <v>12</v>
      </c>
      <c r="AH60" s="538" t="s">
        <v>12</v>
      </c>
    </row>
    <row r="61" spans="1:34" ht="39.75" customHeight="1" x14ac:dyDescent="0.25">
      <c r="A61" s="562">
        <f t="shared" si="0"/>
        <v>48</v>
      </c>
      <c r="B61" s="563">
        <v>44440</v>
      </c>
      <c r="C61" s="564" t="s">
        <v>573</v>
      </c>
      <c r="D61" s="565" t="s">
        <v>12</v>
      </c>
      <c r="E61" s="528" t="s">
        <v>12</v>
      </c>
      <c r="F61" s="566" t="s">
        <v>129</v>
      </c>
      <c r="G61" s="528" t="s">
        <v>12</v>
      </c>
      <c r="H61" s="530" t="s">
        <v>12</v>
      </c>
      <c r="I61" s="528" t="s">
        <v>12</v>
      </c>
      <c r="J61" s="531" t="s">
        <v>12</v>
      </c>
      <c r="K61" s="538" t="s">
        <v>12</v>
      </c>
      <c r="L61" s="566" t="s">
        <v>129</v>
      </c>
      <c r="M61" s="567" t="s">
        <v>129</v>
      </c>
      <c r="N61" s="568" t="s">
        <v>129</v>
      </c>
      <c r="O61" s="569" t="s">
        <v>129</v>
      </c>
      <c r="P61" s="568" t="s">
        <v>129</v>
      </c>
      <c r="Q61" s="569" t="s">
        <v>129</v>
      </c>
      <c r="R61" s="568" t="s">
        <v>129</v>
      </c>
      <c r="S61" s="569" t="s">
        <v>129</v>
      </c>
      <c r="T61" s="568" t="s">
        <v>129</v>
      </c>
      <c r="U61" s="569" t="s">
        <v>129</v>
      </c>
      <c r="V61" s="568" t="s">
        <v>129</v>
      </c>
      <c r="W61" s="569" t="s">
        <v>129</v>
      </c>
      <c r="X61" s="89">
        <v>1</v>
      </c>
      <c r="Y61" s="536">
        <v>1</v>
      </c>
      <c r="Z61" s="89">
        <v>1</v>
      </c>
      <c r="AA61" s="536">
        <v>1</v>
      </c>
      <c r="AB61" s="89">
        <v>1</v>
      </c>
      <c r="AC61" s="536">
        <v>1</v>
      </c>
      <c r="AD61" s="89">
        <v>1</v>
      </c>
      <c r="AE61" s="536">
        <v>1</v>
      </c>
      <c r="AF61" s="537">
        <v>1</v>
      </c>
      <c r="AG61" s="391" t="s">
        <v>12</v>
      </c>
      <c r="AH61" s="538" t="s">
        <v>558</v>
      </c>
    </row>
    <row r="62" spans="1:34" ht="39.75" customHeight="1" x14ac:dyDescent="0.25">
      <c r="A62" s="562">
        <f t="shared" si="0"/>
        <v>49</v>
      </c>
      <c r="B62" s="563">
        <v>44105</v>
      </c>
      <c r="C62" s="564" t="s">
        <v>570</v>
      </c>
      <c r="D62" s="565" t="s">
        <v>12</v>
      </c>
      <c r="E62" s="528" t="s">
        <v>12</v>
      </c>
      <c r="F62" s="566" t="s">
        <v>230</v>
      </c>
      <c r="G62" s="528" t="s">
        <v>12</v>
      </c>
      <c r="H62" s="530" t="s">
        <v>12</v>
      </c>
      <c r="I62" s="528" t="s">
        <v>12</v>
      </c>
      <c r="J62" s="531" t="s">
        <v>12</v>
      </c>
      <c r="K62" s="538" t="s">
        <v>12</v>
      </c>
      <c r="L62" s="566" t="s">
        <v>230</v>
      </c>
      <c r="M62" s="567" t="s">
        <v>230</v>
      </c>
      <c r="N62" s="568" t="s">
        <v>230</v>
      </c>
      <c r="O62" s="569" t="s">
        <v>230</v>
      </c>
      <c r="P62" s="568" t="s">
        <v>230</v>
      </c>
      <c r="Q62" s="569" t="s">
        <v>230</v>
      </c>
      <c r="R62" s="568" t="s">
        <v>230</v>
      </c>
      <c r="S62" s="569" t="s">
        <v>230</v>
      </c>
      <c r="T62" s="568" t="s">
        <v>230</v>
      </c>
      <c r="U62" s="569" t="s">
        <v>230</v>
      </c>
      <c r="V62" s="568" t="s">
        <v>230</v>
      </c>
      <c r="W62" s="569" t="s">
        <v>230</v>
      </c>
      <c r="X62" s="89">
        <v>1</v>
      </c>
      <c r="Y62" s="536">
        <v>1</v>
      </c>
      <c r="Z62" s="89">
        <v>1</v>
      </c>
      <c r="AA62" s="536">
        <v>1</v>
      </c>
      <c r="AB62" s="89">
        <v>1</v>
      </c>
      <c r="AC62" s="536">
        <v>1</v>
      </c>
      <c r="AD62" s="89">
        <v>1</v>
      </c>
      <c r="AE62" s="536">
        <v>1</v>
      </c>
      <c r="AF62" s="537">
        <v>1</v>
      </c>
      <c r="AG62" s="391" t="s">
        <v>12</v>
      </c>
      <c r="AH62" s="538" t="s">
        <v>558</v>
      </c>
    </row>
    <row r="63" spans="1:34" ht="39.75" customHeight="1" x14ac:dyDescent="0.25">
      <c r="A63" s="562">
        <f t="shared" si="0"/>
        <v>50</v>
      </c>
      <c r="B63" s="563">
        <v>44136</v>
      </c>
      <c r="C63" s="564" t="s">
        <v>571</v>
      </c>
      <c r="D63" s="565" t="s">
        <v>12</v>
      </c>
      <c r="E63" s="528" t="s">
        <v>12</v>
      </c>
      <c r="F63" s="566" t="s">
        <v>129</v>
      </c>
      <c r="G63" s="528" t="s">
        <v>12</v>
      </c>
      <c r="H63" s="530" t="s">
        <v>12</v>
      </c>
      <c r="I63" s="528" t="s">
        <v>12</v>
      </c>
      <c r="J63" s="531" t="s">
        <v>12</v>
      </c>
      <c r="K63" s="538" t="s">
        <v>12</v>
      </c>
      <c r="L63" s="566" t="s">
        <v>129</v>
      </c>
      <c r="M63" s="567" t="s">
        <v>129</v>
      </c>
      <c r="N63" s="568" t="s">
        <v>129</v>
      </c>
      <c r="O63" s="569" t="s">
        <v>129</v>
      </c>
      <c r="P63" s="568" t="s">
        <v>129</v>
      </c>
      <c r="Q63" s="569" t="s">
        <v>129</v>
      </c>
      <c r="R63" s="568" t="s">
        <v>129</v>
      </c>
      <c r="S63" s="569" t="s">
        <v>129</v>
      </c>
      <c r="T63" s="568" t="s">
        <v>129</v>
      </c>
      <c r="U63" s="569" t="s">
        <v>129</v>
      </c>
      <c r="V63" s="568" t="s">
        <v>129</v>
      </c>
      <c r="W63" s="569" t="s">
        <v>129</v>
      </c>
      <c r="X63" s="89">
        <v>1</v>
      </c>
      <c r="Y63" s="536">
        <v>1</v>
      </c>
      <c r="Z63" s="89">
        <v>1</v>
      </c>
      <c r="AA63" s="536">
        <v>1</v>
      </c>
      <c r="AB63" s="89">
        <v>1</v>
      </c>
      <c r="AC63" s="536">
        <v>1</v>
      </c>
      <c r="AD63" s="89">
        <v>1</v>
      </c>
      <c r="AE63" s="536">
        <v>1</v>
      </c>
      <c r="AF63" s="537">
        <v>1</v>
      </c>
      <c r="AG63" s="391" t="s">
        <v>12</v>
      </c>
      <c r="AH63" s="538" t="s">
        <v>558</v>
      </c>
    </row>
    <row r="64" spans="1:3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A11:S11"/>
    <mergeCell ref="B12:M12"/>
    <mergeCell ref="N12:W12"/>
    <mergeCell ref="X12:AG12"/>
    <mergeCell ref="H6:I6"/>
    <mergeCell ref="J6:M6"/>
    <mergeCell ref="A7:D7"/>
    <mergeCell ref="E7:G7"/>
    <mergeCell ref="J7:M7"/>
    <mergeCell ref="J8:M8"/>
    <mergeCell ref="J9:M9"/>
    <mergeCell ref="H9:I9"/>
    <mergeCell ref="H10:I10"/>
    <mergeCell ref="A8:D9"/>
    <mergeCell ref="A10:D10"/>
    <mergeCell ref="J10:M10"/>
    <mergeCell ref="A6:D6"/>
    <mergeCell ref="E6:G6"/>
    <mergeCell ref="E8:G8"/>
    <mergeCell ref="H8:I8"/>
    <mergeCell ref="H7:I7"/>
    <mergeCell ref="A2:M2"/>
    <mergeCell ref="N2:W2"/>
    <mergeCell ref="A3:M3"/>
    <mergeCell ref="A4:M4"/>
    <mergeCell ref="A5:S5"/>
  </mergeCells>
  <conditionalFormatting sqref="C14:D63">
    <cfRule type="expression" dxfId="1" priority="1">
      <formula>$C14="Other (Specify in Notes)"</formula>
    </cfRule>
  </conditionalFormatting>
  <dataValidations count="2">
    <dataValidation type="decimal" allowBlank="1" showInputMessage="1" showErrorMessage="1" prompt="Use a number, Do NOT use alphabet" sqref="X14:AF63" xr:uid="{00000000-0002-0000-1400-000001000000}">
      <formula1>0</formula1>
      <formula2>5000</formula2>
    </dataValidation>
    <dataValidation type="date" allowBlank="1" showInputMessage="1" showErrorMessage="1" prompt="Use MM/DD/YYYY format.  Leave blank until date is needed. " sqref="B14:B63" xr:uid="{00000000-0002-0000-1400-000002000000}">
      <formula1>43709</formula1>
      <formula2>45930</formula2>
    </dataValidation>
  </dataValidation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1400-000000000000}">
          <x14:formula1>
            <xm:f>'Pick List '!$T$99:$T$102</xm:f>
          </x14:formula1>
          <xm:sqref>C14:C63</xm:sqref>
        </x14:dataValidation>
        <x14:dataValidation type="list" allowBlank="1" showErrorMessage="1" xr:uid="{00000000-0002-0000-1400-000003000000}">
          <x14:formula1>
            <xm:f>'Pick List '!$G$15:$G$16</xm:f>
          </x14:formula1>
          <xm:sqref>F14:F63 L14:W63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sheetPr>
  <dimension ref="A1:N989"/>
  <sheetViews>
    <sheetView zoomScale="120" zoomScaleNormal="120" workbookViewId="0">
      <selection activeCell="L6" sqref="L6"/>
    </sheetView>
  </sheetViews>
  <sheetFormatPr defaultColWidth="14.42578125" defaultRowHeight="15" customHeight="1" x14ac:dyDescent="0.25"/>
  <cols>
    <col min="1" max="1" width="7.5703125" customWidth="1"/>
    <col min="2" max="2" width="13.7109375" customWidth="1"/>
    <col min="3" max="3" width="24.7109375" customWidth="1"/>
    <col min="4" max="4" width="19" customWidth="1"/>
    <col min="5" max="5" width="19.42578125" customWidth="1"/>
    <col min="6" max="6" width="15.85546875" customWidth="1"/>
    <col min="7" max="7" width="9.7109375" customWidth="1"/>
    <col min="8" max="9" width="8.7109375" customWidth="1"/>
    <col min="10" max="10" width="12.42578125" customWidth="1"/>
    <col min="11" max="11" width="10.42578125" customWidth="1"/>
    <col min="12" max="12" width="41.140625" customWidth="1"/>
    <col min="13" max="26" width="8.7109375" customWidth="1"/>
  </cols>
  <sheetData>
    <row r="1" spans="1:14" ht="39.75" customHeight="1" x14ac:dyDescent="0.25">
      <c r="A1" s="900" t="s">
        <v>974</v>
      </c>
      <c r="B1" s="698"/>
      <c r="C1" s="698"/>
      <c r="D1" s="698"/>
      <c r="E1" s="698"/>
      <c r="F1" s="698"/>
      <c r="G1" s="698"/>
      <c r="H1" s="698"/>
      <c r="I1" s="698"/>
      <c r="J1" s="698"/>
      <c r="K1" s="698"/>
      <c r="L1" s="699"/>
    </row>
    <row r="2" spans="1:14" ht="69.75" customHeight="1" x14ac:dyDescent="0.25">
      <c r="A2" s="570" t="s">
        <v>27</v>
      </c>
      <c r="B2" s="683" t="s">
        <v>963</v>
      </c>
      <c r="C2" s="684" t="s">
        <v>574</v>
      </c>
      <c r="D2" s="572" t="s">
        <v>560</v>
      </c>
      <c r="E2" s="901" t="s">
        <v>575</v>
      </c>
      <c r="F2" s="698"/>
      <c r="G2" s="699"/>
      <c r="H2" s="902" t="s">
        <v>576</v>
      </c>
      <c r="I2" s="698"/>
      <c r="J2" s="699"/>
      <c r="K2" s="571" t="s">
        <v>577</v>
      </c>
      <c r="L2" s="572" t="s">
        <v>964</v>
      </c>
    </row>
    <row r="3" spans="1:14" ht="49.5" customHeight="1" x14ac:dyDescent="0.25">
      <c r="A3" s="8">
        <f>ROW(A1)</f>
        <v>1</v>
      </c>
      <c r="B3" s="685"/>
      <c r="C3" s="686"/>
      <c r="D3" s="687"/>
      <c r="E3" s="890"/>
      <c r="F3" s="891"/>
      <c r="G3" s="892"/>
      <c r="H3" s="890"/>
      <c r="I3" s="891"/>
      <c r="J3" s="892"/>
      <c r="K3" s="688"/>
      <c r="L3" s="687"/>
      <c r="M3" s="689"/>
      <c r="N3" s="689"/>
    </row>
    <row r="4" spans="1:14" ht="49.5" customHeight="1" x14ac:dyDescent="0.25">
      <c r="A4" s="8">
        <f t="shared" ref="A4:A67" si="0">ROW(A2)</f>
        <v>2</v>
      </c>
      <c r="B4" s="690"/>
      <c r="C4" s="691"/>
      <c r="D4" s="692"/>
      <c r="E4" s="893"/>
      <c r="F4" s="891"/>
      <c r="G4" s="892"/>
      <c r="H4" s="893"/>
      <c r="I4" s="891"/>
      <c r="J4" s="892"/>
      <c r="K4" s="693"/>
      <c r="L4" s="692"/>
      <c r="M4" s="689"/>
      <c r="N4" s="689"/>
    </row>
    <row r="5" spans="1:14" ht="49.5" customHeight="1" x14ac:dyDescent="0.25">
      <c r="A5" s="8">
        <f t="shared" si="0"/>
        <v>3</v>
      </c>
      <c r="B5" s="685"/>
      <c r="C5" s="686"/>
      <c r="D5" s="687"/>
      <c r="E5" s="890"/>
      <c r="F5" s="891"/>
      <c r="G5" s="892"/>
      <c r="H5" s="890"/>
      <c r="I5" s="891"/>
      <c r="J5" s="892"/>
      <c r="K5" s="688"/>
      <c r="L5" s="687"/>
      <c r="M5" s="689"/>
      <c r="N5" s="689"/>
    </row>
    <row r="6" spans="1:14" ht="49.5" customHeight="1" x14ac:dyDescent="0.25">
      <c r="A6" s="8">
        <f t="shared" si="0"/>
        <v>4</v>
      </c>
      <c r="B6" s="690"/>
      <c r="C6" s="691"/>
      <c r="D6" s="692"/>
      <c r="E6" s="893"/>
      <c r="F6" s="891"/>
      <c r="G6" s="892"/>
      <c r="H6" s="893"/>
      <c r="I6" s="891"/>
      <c r="J6" s="892"/>
      <c r="K6" s="693"/>
      <c r="L6" s="692"/>
      <c r="M6" s="689"/>
      <c r="N6" s="689"/>
    </row>
    <row r="7" spans="1:14" ht="49.5" customHeight="1" x14ac:dyDescent="0.25">
      <c r="A7" s="8">
        <f t="shared" si="0"/>
        <v>5</v>
      </c>
      <c r="B7" s="685"/>
      <c r="C7" s="686"/>
      <c r="D7" s="687"/>
      <c r="E7" s="890"/>
      <c r="F7" s="891"/>
      <c r="G7" s="892"/>
      <c r="H7" s="890"/>
      <c r="I7" s="891"/>
      <c r="J7" s="892"/>
      <c r="K7" s="688"/>
      <c r="L7" s="687"/>
      <c r="M7" s="689"/>
      <c r="N7" s="689"/>
    </row>
    <row r="8" spans="1:14" ht="49.5" customHeight="1" x14ac:dyDescent="0.25">
      <c r="A8" s="8">
        <f t="shared" si="0"/>
        <v>6</v>
      </c>
      <c r="B8" s="690"/>
      <c r="C8" s="691"/>
      <c r="D8" s="692"/>
      <c r="E8" s="893"/>
      <c r="F8" s="891"/>
      <c r="G8" s="892"/>
      <c r="H8" s="893"/>
      <c r="I8" s="891"/>
      <c r="J8" s="892"/>
      <c r="K8" s="693"/>
      <c r="L8" s="692"/>
      <c r="M8" s="689"/>
      <c r="N8" s="689"/>
    </row>
    <row r="9" spans="1:14" ht="49.5" customHeight="1" x14ac:dyDescent="0.25">
      <c r="A9" s="8">
        <f t="shared" si="0"/>
        <v>7</v>
      </c>
      <c r="B9" s="685"/>
      <c r="C9" s="686"/>
      <c r="D9" s="687"/>
      <c r="E9" s="890"/>
      <c r="F9" s="891"/>
      <c r="G9" s="892"/>
      <c r="H9" s="890"/>
      <c r="I9" s="891"/>
      <c r="J9" s="892"/>
      <c r="K9" s="688"/>
      <c r="L9" s="687"/>
      <c r="M9" s="689"/>
      <c r="N9" s="689"/>
    </row>
    <row r="10" spans="1:14" ht="49.5" customHeight="1" x14ac:dyDescent="0.25">
      <c r="A10" s="8">
        <f t="shared" si="0"/>
        <v>8</v>
      </c>
      <c r="B10" s="690"/>
      <c r="C10" s="691"/>
      <c r="D10" s="692"/>
      <c r="E10" s="893"/>
      <c r="F10" s="891"/>
      <c r="G10" s="892"/>
      <c r="H10" s="893"/>
      <c r="I10" s="891"/>
      <c r="J10" s="892"/>
      <c r="K10" s="693"/>
      <c r="L10" s="692"/>
      <c r="M10" s="689"/>
      <c r="N10" s="689"/>
    </row>
    <row r="11" spans="1:14" ht="49.5" customHeight="1" x14ac:dyDescent="0.25">
      <c r="A11" s="8">
        <f t="shared" si="0"/>
        <v>9</v>
      </c>
      <c r="B11" s="685"/>
      <c r="C11" s="686"/>
      <c r="D11" s="687"/>
      <c r="E11" s="890"/>
      <c r="F11" s="891"/>
      <c r="G11" s="892"/>
      <c r="H11" s="890"/>
      <c r="I11" s="891"/>
      <c r="J11" s="892"/>
      <c r="K11" s="688"/>
      <c r="L11" s="687"/>
      <c r="M11" s="689"/>
      <c r="N11" s="689"/>
    </row>
    <row r="12" spans="1:14" ht="49.5" customHeight="1" x14ac:dyDescent="0.25">
      <c r="A12" s="8">
        <f t="shared" si="0"/>
        <v>10</v>
      </c>
      <c r="B12" s="690"/>
      <c r="C12" s="691"/>
      <c r="D12" s="692"/>
      <c r="E12" s="893"/>
      <c r="F12" s="891"/>
      <c r="G12" s="892"/>
      <c r="H12" s="893"/>
      <c r="I12" s="891"/>
      <c r="J12" s="892"/>
      <c r="K12" s="693"/>
      <c r="L12" s="692"/>
      <c r="M12" s="689"/>
      <c r="N12" s="689"/>
    </row>
    <row r="13" spans="1:14" ht="49.5" customHeight="1" x14ac:dyDescent="0.25">
      <c r="A13" s="8">
        <f t="shared" si="0"/>
        <v>11</v>
      </c>
      <c r="B13" s="685"/>
      <c r="C13" s="686"/>
      <c r="D13" s="687"/>
      <c r="E13" s="890"/>
      <c r="F13" s="891"/>
      <c r="G13" s="892"/>
      <c r="H13" s="890"/>
      <c r="I13" s="891"/>
      <c r="J13" s="892"/>
      <c r="K13" s="688"/>
      <c r="L13" s="687"/>
      <c r="M13" s="689"/>
      <c r="N13" s="689"/>
    </row>
    <row r="14" spans="1:14" ht="49.5" customHeight="1" x14ac:dyDescent="0.25">
      <c r="A14" s="8">
        <f t="shared" si="0"/>
        <v>12</v>
      </c>
      <c r="B14" s="690"/>
      <c r="C14" s="691"/>
      <c r="D14" s="692"/>
      <c r="E14" s="893"/>
      <c r="F14" s="891"/>
      <c r="G14" s="892"/>
      <c r="H14" s="893"/>
      <c r="I14" s="891"/>
      <c r="J14" s="892"/>
      <c r="K14" s="693"/>
      <c r="L14" s="692"/>
      <c r="M14" s="689"/>
      <c r="N14" s="689"/>
    </row>
    <row r="15" spans="1:14" ht="49.5" customHeight="1" x14ac:dyDescent="0.25">
      <c r="A15" s="8">
        <f t="shared" si="0"/>
        <v>13</v>
      </c>
      <c r="B15" s="685"/>
      <c r="C15" s="686"/>
      <c r="D15" s="687"/>
      <c r="E15" s="890"/>
      <c r="F15" s="891"/>
      <c r="G15" s="892"/>
      <c r="H15" s="890"/>
      <c r="I15" s="891"/>
      <c r="J15" s="892"/>
      <c r="K15" s="688"/>
      <c r="L15" s="687"/>
      <c r="M15" s="689"/>
      <c r="N15" s="689"/>
    </row>
    <row r="16" spans="1:14" ht="49.5" customHeight="1" x14ac:dyDescent="0.25">
      <c r="A16" s="8">
        <f t="shared" si="0"/>
        <v>14</v>
      </c>
      <c r="B16" s="690"/>
      <c r="C16" s="691"/>
      <c r="D16" s="692"/>
      <c r="E16" s="893"/>
      <c r="F16" s="891"/>
      <c r="G16" s="892"/>
      <c r="H16" s="893"/>
      <c r="I16" s="891"/>
      <c r="J16" s="892"/>
      <c r="K16" s="693"/>
      <c r="L16" s="692"/>
      <c r="M16" s="689"/>
      <c r="N16" s="689"/>
    </row>
    <row r="17" spans="1:14" ht="49.5" customHeight="1" x14ac:dyDescent="0.25">
      <c r="A17" s="8">
        <f t="shared" si="0"/>
        <v>15</v>
      </c>
      <c r="B17" s="685"/>
      <c r="C17" s="686"/>
      <c r="D17" s="687"/>
      <c r="E17" s="890"/>
      <c r="F17" s="891"/>
      <c r="G17" s="892"/>
      <c r="H17" s="890"/>
      <c r="I17" s="891"/>
      <c r="J17" s="892"/>
      <c r="K17" s="688"/>
      <c r="L17" s="687"/>
      <c r="M17" s="689"/>
      <c r="N17" s="689"/>
    </row>
    <row r="18" spans="1:14" ht="49.5" customHeight="1" x14ac:dyDescent="0.25">
      <c r="A18" s="8">
        <f t="shared" si="0"/>
        <v>16</v>
      </c>
      <c r="B18" s="690"/>
      <c r="C18" s="691"/>
      <c r="D18" s="692"/>
      <c r="E18" s="893"/>
      <c r="F18" s="891"/>
      <c r="G18" s="892"/>
      <c r="H18" s="893"/>
      <c r="I18" s="891"/>
      <c r="J18" s="892"/>
      <c r="K18" s="693"/>
      <c r="L18" s="692"/>
      <c r="M18" s="689"/>
      <c r="N18" s="689"/>
    </row>
    <row r="19" spans="1:14" ht="49.5" customHeight="1" x14ac:dyDescent="0.25">
      <c r="A19" s="8">
        <f t="shared" si="0"/>
        <v>17</v>
      </c>
      <c r="B19" s="685"/>
      <c r="C19" s="686"/>
      <c r="D19" s="687"/>
      <c r="E19" s="890"/>
      <c r="F19" s="891"/>
      <c r="G19" s="892"/>
      <c r="H19" s="890"/>
      <c r="I19" s="891"/>
      <c r="J19" s="892"/>
      <c r="K19" s="688"/>
      <c r="L19" s="687"/>
      <c r="M19" s="689"/>
      <c r="N19" s="689"/>
    </row>
    <row r="20" spans="1:14" ht="49.5" customHeight="1" x14ac:dyDescent="0.25">
      <c r="A20" s="8">
        <f t="shared" si="0"/>
        <v>18</v>
      </c>
      <c r="B20" s="690"/>
      <c r="C20" s="691"/>
      <c r="D20" s="692"/>
      <c r="E20" s="893"/>
      <c r="F20" s="891"/>
      <c r="G20" s="892"/>
      <c r="H20" s="893"/>
      <c r="I20" s="891"/>
      <c r="J20" s="892"/>
      <c r="K20" s="693"/>
      <c r="L20" s="692"/>
      <c r="M20" s="689"/>
      <c r="N20" s="689"/>
    </row>
    <row r="21" spans="1:14" ht="49.5" customHeight="1" x14ac:dyDescent="0.25">
      <c r="A21" s="8">
        <f t="shared" si="0"/>
        <v>19</v>
      </c>
      <c r="B21" s="685"/>
      <c r="C21" s="686"/>
      <c r="D21" s="687"/>
      <c r="E21" s="890"/>
      <c r="F21" s="891"/>
      <c r="G21" s="892"/>
      <c r="H21" s="890"/>
      <c r="I21" s="891"/>
      <c r="J21" s="892"/>
      <c r="K21" s="688"/>
      <c r="L21" s="687"/>
      <c r="M21" s="689"/>
      <c r="N21" s="689"/>
    </row>
    <row r="22" spans="1:14" ht="49.5" customHeight="1" x14ac:dyDescent="0.25">
      <c r="A22" s="8">
        <f t="shared" si="0"/>
        <v>20</v>
      </c>
      <c r="B22" s="690"/>
      <c r="C22" s="691"/>
      <c r="D22" s="692"/>
      <c r="E22" s="893"/>
      <c r="F22" s="891"/>
      <c r="G22" s="892"/>
      <c r="H22" s="893"/>
      <c r="I22" s="891"/>
      <c r="J22" s="892"/>
      <c r="K22" s="693"/>
      <c r="L22" s="893"/>
      <c r="M22" s="891"/>
      <c r="N22" s="892"/>
    </row>
    <row r="23" spans="1:14" ht="49.5" customHeight="1" x14ac:dyDescent="0.25">
      <c r="A23" s="8">
        <f t="shared" si="0"/>
        <v>21</v>
      </c>
      <c r="B23" s="685"/>
      <c r="C23" s="686"/>
      <c r="D23" s="687"/>
      <c r="E23" s="890"/>
      <c r="F23" s="891"/>
      <c r="G23" s="892"/>
      <c r="H23" s="890"/>
      <c r="I23" s="891"/>
      <c r="J23" s="892"/>
      <c r="K23" s="688"/>
      <c r="L23" s="687"/>
      <c r="M23" s="689"/>
      <c r="N23" s="689"/>
    </row>
    <row r="24" spans="1:14" ht="49.5" customHeight="1" x14ac:dyDescent="0.25">
      <c r="A24" s="8">
        <f t="shared" si="0"/>
        <v>22</v>
      </c>
      <c r="B24" s="690"/>
      <c r="C24" s="691"/>
      <c r="D24" s="692"/>
      <c r="E24" s="893"/>
      <c r="F24" s="891"/>
      <c r="G24" s="892"/>
      <c r="H24" s="893"/>
      <c r="I24" s="891"/>
      <c r="J24" s="892"/>
      <c r="K24" s="693"/>
      <c r="L24" s="692"/>
      <c r="M24" s="689"/>
      <c r="N24" s="689"/>
    </row>
    <row r="25" spans="1:14" ht="49.5" customHeight="1" x14ac:dyDescent="0.25">
      <c r="A25" s="8">
        <f t="shared" si="0"/>
        <v>23</v>
      </c>
      <c r="B25" s="685"/>
      <c r="C25" s="686"/>
      <c r="D25" s="687"/>
      <c r="E25" s="890"/>
      <c r="F25" s="891"/>
      <c r="G25" s="892"/>
      <c r="H25" s="890"/>
      <c r="I25" s="891"/>
      <c r="J25" s="892"/>
      <c r="K25" s="688"/>
      <c r="L25" s="687"/>
      <c r="M25" s="689"/>
      <c r="N25" s="689"/>
    </row>
    <row r="26" spans="1:14" ht="49.5" customHeight="1" x14ac:dyDescent="0.25">
      <c r="A26" s="8">
        <f t="shared" si="0"/>
        <v>24</v>
      </c>
      <c r="B26" s="690"/>
      <c r="C26" s="691"/>
      <c r="D26" s="692"/>
      <c r="E26" s="893"/>
      <c r="F26" s="891"/>
      <c r="G26" s="892"/>
      <c r="H26" s="893"/>
      <c r="I26" s="891"/>
      <c r="J26" s="892"/>
      <c r="K26" s="693"/>
      <c r="L26" s="692"/>
      <c r="M26" s="689"/>
      <c r="N26" s="689"/>
    </row>
    <row r="27" spans="1:14" ht="49.5" customHeight="1" x14ac:dyDescent="0.25">
      <c r="A27" s="8">
        <f t="shared" si="0"/>
        <v>25</v>
      </c>
      <c r="B27" s="685"/>
      <c r="C27" s="686"/>
      <c r="D27" s="687"/>
      <c r="E27" s="890"/>
      <c r="F27" s="891"/>
      <c r="G27" s="892"/>
      <c r="H27" s="890"/>
      <c r="I27" s="891"/>
      <c r="J27" s="892"/>
      <c r="K27" s="688"/>
      <c r="L27" s="687"/>
      <c r="M27" s="689"/>
      <c r="N27" s="689"/>
    </row>
    <row r="28" spans="1:14" ht="49.5" customHeight="1" x14ac:dyDescent="0.25">
      <c r="A28" s="8">
        <f t="shared" si="0"/>
        <v>26</v>
      </c>
      <c r="B28" s="690"/>
      <c r="C28" s="691"/>
      <c r="D28" s="692"/>
      <c r="E28" s="893"/>
      <c r="F28" s="891"/>
      <c r="G28" s="892"/>
      <c r="H28" s="893"/>
      <c r="I28" s="891"/>
      <c r="J28" s="892"/>
      <c r="K28" s="693"/>
      <c r="L28" s="692"/>
      <c r="M28" s="689"/>
      <c r="N28" s="689"/>
    </row>
    <row r="29" spans="1:14" ht="49.5" customHeight="1" x14ac:dyDescent="0.25">
      <c r="A29" s="8">
        <f t="shared" si="0"/>
        <v>27</v>
      </c>
      <c r="B29" s="685"/>
      <c r="C29" s="686"/>
      <c r="D29" s="687"/>
      <c r="E29" s="890"/>
      <c r="F29" s="891"/>
      <c r="G29" s="892"/>
      <c r="H29" s="890"/>
      <c r="I29" s="891"/>
      <c r="J29" s="892"/>
      <c r="K29" s="688"/>
      <c r="L29" s="687"/>
      <c r="M29" s="689"/>
      <c r="N29" s="689"/>
    </row>
    <row r="30" spans="1:14" ht="49.5" customHeight="1" x14ac:dyDescent="0.25">
      <c r="A30" s="8">
        <f t="shared" si="0"/>
        <v>28</v>
      </c>
      <c r="B30" s="690"/>
      <c r="C30" s="691"/>
      <c r="D30" s="692"/>
      <c r="E30" s="893"/>
      <c r="F30" s="891"/>
      <c r="G30" s="892"/>
      <c r="H30" s="893"/>
      <c r="I30" s="891"/>
      <c r="J30" s="892"/>
      <c r="K30" s="693"/>
      <c r="L30" s="692"/>
      <c r="M30" s="689"/>
      <c r="N30" s="689"/>
    </row>
    <row r="31" spans="1:14" ht="49.5" customHeight="1" x14ac:dyDescent="0.25">
      <c r="A31" s="8">
        <f t="shared" si="0"/>
        <v>29</v>
      </c>
      <c r="B31" s="685"/>
      <c r="C31" s="686"/>
      <c r="D31" s="687"/>
      <c r="E31" s="890"/>
      <c r="F31" s="891"/>
      <c r="G31" s="892"/>
      <c r="H31" s="890"/>
      <c r="I31" s="891"/>
      <c r="J31" s="892"/>
      <c r="K31" s="688"/>
      <c r="L31" s="687"/>
      <c r="M31" s="689"/>
      <c r="N31" s="689"/>
    </row>
    <row r="32" spans="1:14" ht="49.5" customHeight="1" x14ac:dyDescent="0.25">
      <c r="A32" s="8">
        <f t="shared" si="0"/>
        <v>30</v>
      </c>
      <c r="B32" s="690"/>
      <c r="C32" s="691"/>
      <c r="D32" s="692"/>
      <c r="E32" s="893"/>
      <c r="F32" s="891"/>
      <c r="G32" s="892"/>
      <c r="H32" s="893"/>
      <c r="I32" s="891"/>
      <c r="J32" s="892"/>
      <c r="K32" s="693"/>
      <c r="L32" s="692"/>
      <c r="M32" s="689"/>
      <c r="N32" s="689"/>
    </row>
    <row r="33" spans="1:14" ht="49.5" customHeight="1" x14ac:dyDescent="0.25">
      <c r="A33" s="8">
        <f t="shared" si="0"/>
        <v>31</v>
      </c>
      <c r="B33" s="685"/>
      <c r="C33" s="686"/>
      <c r="D33" s="687"/>
      <c r="E33" s="890"/>
      <c r="F33" s="891"/>
      <c r="G33" s="892"/>
      <c r="H33" s="890"/>
      <c r="I33" s="891"/>
      <c r="J33" s="892"/>
      <c r="K33" s="688"/>
      <c r="L33" s="687"/>
      <c r="M33" s="689"/>
      <c r="N33" s="689"/>
    </row>
    <row r="34" spans="1:14" ht="49.5" customHeight="1" x14ac:dyDescent="0.25">
      <c r="A34" s="8">
        <f t="shared" si="0"/>
        <v>32</v>
      </c>
      <c r="B34" s="690"/>
      <c r="C34" s="691"/>
      <c r="D34" s="692"/>
      <c r="E34" s="893"/>
      <c r="F34" s="891"/>
      <c r="G34" s="892"/>
      <c r="H34" s="893"/>
      <c r="I34" s="891"/>
      <c r="J34" s="892"/>
      <c r="K34" s="693"/>
      <c r="L34" s="692"/>
      <c r="M34" s="689"/>
      <c r="N34" s="689"/>
    </row>
    <row r="35" spans="1:14" ht="49.5" customHeight="1" x14ac:dyDescent="0.25">
      <c r="A35" s="8">
        <f t="shared" si="0"/>
        <v>33</v>
      </c>
      <c r="B35" s="685"/>
      <c r="C35" s="686"/>
      <c r="D35" s="687"/>
      <c r="E35" s="890"/>
      <c r="F35" s="891"/>
      <c r="G35" s="892"/>
      <c r="H35" s="890"/>
      <c r="I35" s="891"/>
      <c r="J35" s="892"/>
      <c r="K35" s="688"/>
      <c r="L35" s="687"/>
      <c r="M35" s="689"/>
      <c r="N35" s="689"/>
    </row>
    <row r="36" spans="1:14" ht="49.5" customHeight="1" x14ac:dyDescent="0.25">
      <c r="A36" s="8">
        <f t="shared" si="0"/>
        <v>34</v>
      </c>
      <c r="B36" s="690"/>
      <c r="C36" s="691"/>
      <c r="D36" s="692"/>
      <c r="E36" s="893"/>
      <c r="F36" s="891"/>
      <c r="G36" s="892"/>
      <c r="H36" s="893"/>
      <c r="I36" s="891"/>
      <c r="J36" s="892"/>
      <c r="K36" s="693"/>
      <c r="L36" s="692"/>
      <c r="M36" s="689"/>
      <c r="N36" s="689"/>
    </row>
    <row r="37" spans="1:14" ht="49.5" customHeight="1" x14ac:dyDescent="0.25">
      <c r="A37" s="8">
        <f t="shared" si="0"/>
        <v>35</v>
      </c>
      <c r="B37" s="685"/>
      <c r="C37" s="686"/>
      <c r="D37" s="687"/>
      <c r="E37" s="890"/>
      <c r="F37" s="891"/>
      <c r="G37" s="892"/>
      <c r="H37" s="890"/>
      <c r="I37" s="891"/>
      <c r="J37" s="892"/>
      <c r="K37" s="688"/>
      <c r="L37" s="687"/>
      <c r="M37" s="689"/>
      <c r="N37" s="689"/>
    </row>
    <row r="38" spans="1:14" ht="49.5" customHeight="1" x14ac:dyDescent="0.25">
      <c r="A38" s="8">
        <f t="shared" si="0"/>
        <v>36</v>
      </c>
      <c r="B38" s="690"/>
      <c r="C38" s="691"/>
      <c r="D38" s="692"/>
      <c r="E38" s="893"/>
      <c r="F38" s="891"/>
      <c r="G38" s="892"/>
      <c r="H38" s="893"/>
      <c r="I38" s="891"/>
      <c r="J38" s="892"/>
      <c r="K38" s="693"/>
      <c r="L38" s="692"/>
      <c r="M38" s="689"/>
      <c r="N38" s="689"/>
    </row>
    <row r="39" spans="1:14" ht="49.5" customHeight="1" x14ac:dyDescent="0.25">
      <c r="A39" s="8">
        <f t="shared" si="0"/>
        <v>37</v>
      </c>
      <c r="B39" s="685"/>
      <c r="C39" s="686"/>
      <c r="D39" s="687"/>
      <c r="E39" s="890"/>
      <c r="F39" s="891"/>
      <c r="G39" s="892"/>
      <c r="H39" s="890"/>
      <c r="I39" s="891"/>
      <c r="J39" s="892"/>
      <c r="K39" s="688"/>
      <c r="L39" s="687"/>
      <c r="M39" s="689"/>
      <c r="N39" s="689"/>
    </row>
    <row r="40" spans="1:14" ht="49.5" customHeight="1" x14ac:dyDescent="0.25">
      <c r="A40" s="8">
        <f t="shared" si="0"/>
        <v>38</v>
      </c>
      <c r="B40" s="690"/>
      <c r="C40" s="691"/>
      <c r="D40" s="692"/>
      <c r="E40" s="893"/>
      <c r="F40" s="891"/>
      <c r="G40" s="892"/>
      <c r="H40" s="893"/>
      <c r="I40" s="891"/>
      <c r="J40" s="892"/>
      <c r="K40" s="693"/>
      <c r="L40" s="692"/>
      <c r="M40" s="689"/>
      <c r="N40" s="689"/>
    </row>
    <row r="41" spans="1:14" ht="49.5" customHeight="1" x14ac:dyDescent="0.25">
      <c r="A41" s="8">
        <f t="shared" si="0"/>
        <v>39</v>
      </c>
      <c r="B41" s="685"/>
      <c r="C41" s="686"/>
      <c r="D41" s="687"/>
      <c r="E41" s="890"/>
      <c r="F41" s="891"/>
      <c r="G41" s="892"/>
      <c r="H41" s="890"/>
      <c r="I41" s="891"/>
      <c r="J41" s="892"/>
      <c r="K41" s="688"/>
      <c r="L41" s="687"/>
      <c r="M41" s="689"/>
      <c r="N41" s="689"/>
    </row>
    <row r="42" spans="1:14" ht="49.5" customHeight="1" x14ac:dyDescent="0.25">
      <c r="A42" s="8">
        <f t="shared" si="0"/>
        <v>40</v>
      </c>
      <c r="B42" s="690"/>
      <c r="C42" s="691"/>
      <c r="D42" s="692"/>
      <c r="E42" s="893"/>
      <c r="F42" s="891"/>
      <c r="G42" s="892"/>
      <c r="H42" s="893"/>
      <c r="I42" s="891"/>
      <c r="J42" s="892"/>
      <c r="K42" s="693"/>
      <c r="L42" s="692"/>
      <c r="M42" s="689"/>
      <c r="N42" s="689"/>
    </row>
    <row r="43" spans="1:14" ht="49.5" customHeight="1" x14ac:dyDescent="0.25">
      <c r="A43" s="8">
        <f t="shared" si="0"/>
        <v>41</v>
      </c>
      <c r="B43" s="685"/>
      <c r="C43" s="686"/>
      <c r="D43" s="687"/>
      <c r="E43" s="890"/>
      <c r="F43" s="891"/>
      <c r="G43" s="892"/>
      <c r="H43" s="890"/>
      <c r="I43" s="891"/>
      <c r="J43" s="892"/>
      <c r="K43" s="688"/>
      <c r="L43" s="687"/>
      <c r="M43" s="689"/>
      <c r="N43" s="689"/>
    </row>
    <row r="44" spans="1:14" ht="49.5" customHeight="1" x14ac:dyDescent="0.25">
      <c r="A44" s="8">
        <f t="shared" si="0"/>
        <v>42</v>
      </c>
      <c r="B44" s="690"/>
      <c r="C44" s="691"/>
      <c r="D44" s="692"/>
      <c r="E44" s="893"/>
      <c r="F44" s="891"/>
      <c r="G44" s="892"/>
      <c r="H44" s="893"/>
      <c r="I44" s="891"/>
      <c r="J44" s="892"/>
      <c r="K44" s="693"/>
      <c r="L44" s="692"/>
      <c r="M44" s="689"/>
      <c r="N44" s="689"/>
    </row>
    <row r="45" spans="1:14" ht="49.5" customHeight="1" x14ac:dyDescent="0.25">
      <c r="A45" s="8">
        <f t="shared" si="0"/>
        <v>43</v>
      </c>
      <c r="B45" s="685"/>
      <c r="C45" s="686"/>
      <c r="D45" s="687"/>
      <c r="E45" s="890"/>
      <c r="F45" s="891"/>
      <c r="G45" s="892"/>
      <c r="H45" s="893"/>
      <c r="I45" s="891"/>
      <c r="J45" s="892"/>
      <c r="K45" s="688"/>
      <c r="L45" s="692"/>
      <c r="M45" s="689"/>
      <c r="N45" s="689"/>
    </row>
    <row r="46" spans="1:14" ht="49.5" customHeight="1" x14ac:dyDescent="0.25">
      <c r="A46" s="8">
        <f t="shared" si="0"/>
        <v>44</v>
      </c>
      <c r="B46" s="690"/>
      <c r="C46" s="691"/>
      <c r="D46" s="692"/>
      <c r="E46" s="893"/>
      <c r="F46" s="891"/>
      <c r="G46" s="892"/>
      <c r="H46" s="893"/>
      <c r="I46" s="891"/>
      <c r="J46" s="892"/>
      <c r="K46" s="693"/>
      <c r="L46" s="692"/>
      <c r="M46" s="689"/>
      <c r="N46" s="689"/>
    </row>
    <row r="47" spans="1:14" ht="49.5" customHeight="1" x14ac:dyDescent="0.25">
      <c r="A47" s="8">
        <f t="shared" si="0"/>
        <v>45</v>
      </c>
      <c r="B47" s="685"/>
      <c r="C47" s="686"/>
      <c r="D47" s="687"/>
      <c r="E47" s="890"/>
      <c r="F47" s="891"/>
      <c r="G47" s="892"/>
      <c r="H47" s="890"/>
      <c r="I47" s="891"/>
      <c r="J47" s="892"/>
      <c r="K47" s="688"/>
      <c r="L47" s="687"/>
      <c r="M47" s="689"/>
      <c r="N47" s="689"/>
    </row>
    <row r="48" spans="1:14" ht="49.5" customHeight="1" x14ac:dyDescent="0.25">
      <c r="A48" s="8">
        <f t="shared" si="0"/>
        <v>46</v>
      </c>
      <c r="B48" s="690"/>
      <c r="C48" s="691"/>
      <c r="D48" s="692"/>
      <c r="E48" s="893"/>
      <c r="F48" s="891"/>
      <c r="G48" s="892"/>
      <c r="H48" s="893"/>
      <c r="I48" s="891"/>
      <c r="J48" s="892"/>
      <c r="K48" s="693"/>
      <c r="L48" s="692"/>
      <c r="M48" s="689"/>
      <c r="N48" s="689"/>
    </row>
    <row r="49" spans="1:14" ht="49.5" customHeight="1" x14ac:dyDescent="0.25">
      <c r="A49" s="8">
        <f t="shared" si="0"/>
        <v>47</v>
      </c>
      <c r="B49" s="685"/>
      <c r="C49" s="686"/>
      <c r="D49" s="687"/>
      <c r="E49" s="890"/>
      <c r="F49" s="891"/>
      <c r="G49" s="892"/>
      <c r="H49" s="890"/>
      <c r="I49" s="891"/>
      <c r="J49" s="892"/>
      <c r="K49" s="688"/>
      <c r="L49" s="687"/>
      <c r="M49" s="689"/>
      <c r="N49" s="689"/>
    </row>
    <row r="50" spans="1:14" ht="49.5" customHeight="1" x14ac:dyDescent="0.25">
      <c r="A50" s="8">
        <f t="shared" si="0"/>
        <v>48</v>
      </c>
      <c r="B50" s="690"/>
      <c r="C50" s="691"/>
      <c r="D50" s="692"/>
      <c r="E50" s="893"/>
      <c r="F50" s="891"/>
      <c r="G50" s="892"/>
      <c r="H50" s="893"/>
      <c r="I50" s="891"/>
      <c r="J50" s="892"/>
      <c r="K50" s="693"/>
      <c r="L50" s="692"/>
      <c r="M50" s="689"/>
      <c r="N50" s="689"/>
    </row>
    <row r="51" spans="1:14" ht="49.5" customHeight="1" x14ac:dyDescent="0.25">
      <c r="A51" s="8">
        <f t="shared" si="0"/>
        <v>49</v>
      </c>
      <c r="B51" s="685"/>
      <c r="C51" s="686"/>
      <c r="D51" s="687"/>
      <c r="E51" s="890"/>
      <c r="F51" s="891"/>
      <c r="G51" s="892"/>
      <c r="H51" s="890"/>
      <c r="I51" s="891"/>
      <c r="J51" s="892"/>
      <c r="K51" s="688"/>
      <c r="L51" s="687"/>
      <c r="M51" s="689"/>
      <c r="N51" s="689"/>
    </row>
    <row r="52" spans="1:14" ht="49.5" customHeight="1" x14ac:dyDescent="0.25">
      <c r="A52" s="8">
        <f t="shared" si="0"/>
        <v>50</v>
      </c>
      <c r="B52" s="690"/>
      <c r="C52" s="691"/>
      <c r="D52" s="692"/>
      <c r="E52" s="893"/>
      <c r="F52" s="891"/>
      <c r="G52" s="892"/>
      <c r="H52" s="893"/>
      <c r="I52" s="891"/>
      <c r="J52" s="892"/>
      <c r="K52" s="693"/>
      <c r="L52" s="692"/>
      <c r="M52" s="689"/>
      <c r="N52" s="689"/>
    </row>
    <row r="53" spans="1:14" ht="49.5" customHeight="1" x14ac:dyDescent="0.25">
      <c r="A53" s="8">
        <f t="shared" si="0"/>
        <v>51</v>
      </c>
      <c r="B53" s="685"/>
      <c r="C53" s="686"/>
      <c r="D53" s="687"/>
      <c r="E53" s="890"/>
      <c r="F53" s="891"/>
      <c r="G53" s="892"/>
      <c r="H53" s="890"/>
      <c r="I53" s="891"/>
      <c r="J53" s="892"/>
      <c r="K53" s="688"/>
      <c r="L53" s="687"/>
      <c r="M53" s="689"/>
      <c r="N53" s="689"/>
    </row>
    <row r="54" spans="1:14" ht="49.5" customHeight="1" x14ac:dyDescent="0.25">
      <c r="A54" s="8">
        <f t="shared" si="0"/>
        <v>52</v>
      </c>
      <c r="B54" s="690"/>
      <c r="C54" s="691"/>
      <c r="D54" s="692"/>
      <c r="E54" s="893"/>
      <c r="F54" s="891"/>
      <c r="G54" s="892"/>
      <c r="H54" s="893"/>
      <c r="I54" s="891"/>
      <c r="J54" s="892"/>
      <c r="K54" s="693"/>
      <c r="L54" s="692"/>
      <c r="M54" s="689"/>
      <c r="N54" s="689"/>
    </row>
    <row r="55" spans="1:14" ht="49.5" customHeight="1" x14ac:dyDescent="0.25">
      <c r="A55" s="8">
        <f t="shared" si="0"/>
        <v>53</v>
      </c>
      <c r="B55" s="685"/>
      <c r="C55" s="686"/>
      <c r="D55" s="687"/>
      <c r="E55" s="890"/>
      <c r="F55" s="891"/>
      <c r="G55" s="892"/>
      <c r="H55" s="890"/>
      <c r="I55" s="891"/>
      <c r="J55" s="892"/>
      <c r="K55" s="688"/>
      <c r="L55" s="687"/>
      <c r="M55" s="689"/>
      <c r="N55" s="689"/>
    </row>
    <row r="56" spans="1:14" ht="49.5" customHeight="1" x14ac:dyDescent="0.25">
      <c r="A56" s="8">
        <f t="shared" si="0"/>
        <v>54</v>
      </c>
      <c r="B56" s="690"/>
      <c r="C56" s="691"/>
      <c r="D56" s="692"/>
      <c r="E56" s="893"/>
      <c r="F56" s="891"/>
      <c r="G56" s="892"/>
      <c r="H56" s="893"/>
      <c r="I56" s="891"/>
      <c r="J56" s="892"/>
      <c r="K56" s="693"/>
      <c r="L56" s="692"/>
      <c r="M56" s="689"/>
      <c r="N56" s="689"/>
    </row>
    <row r="57" spans="1:14" ht="49.5" customHeight="1" x14ac:dyDescent="0.25">
      <c r="A57" s="8">
        <f t="shared" si="0"/>
        <v>55</v>
      </c>
      <c r="B57" s="685"/>
      <c r="C57" s="686"/>
      <c r="D57" s="687"/>
      <c r="E57" s="890"/>
      <c r="F57" s="891"/>
      <c r="G57" s="892"/>
      <c r="H57" s="890"/>
      <c r="I57" s="891"/>
      <c r="J57" s="892"/>
      <c r="K57" s="688"/>
      <c r="L57" s="687"/>
      <c r="M57" s="689"/>
      <c r="N57" s="689"/>
    </row>
    <row r="58" spans="1:14" ht="49.5" customHeight="1" x14ac:dyDescent="0.25">
      <c r="A58" s="8">
        <f t="shared" si="0"/>
        <v>56</v>
      </c>
      <c r="B58" s="690"/>
      <c r="C58" s="691"/>
      <c r="D58" s="692"/>
      <c r="E58" s="893"/>
      <c r="F58" s="891"/>
      <c r="G58" s="892"/>
      <c r="H58" s="893"/>
      <c r="I58" s="891"/>
      <c r="J58" s="892"/>
      <c r="K58" s="693"/>
      <c r="L58" s="692"/>
      <c r="M58" s="689"/>
      <c r="N58" s="689"/>
    </row>
    <row r="59" spans="1:14" ht="49.5" customHeight="1" x14ac:dyDescent="0.25">
      <c r="A59" s="8">
        <f t="shared" si="0"/>
        <v>57</v>
      </c>
      <c r="B59" s="685"/>
      <c r="C59" s="686"/>
      <c r="D59" s="687"/>
      <c r="E59" s="890"/>
      <c r="F59" s="891"/>
      <c r="G59" s="892"/>
      <c r="H59" s="890"/>
      <c r="I59" s="891"/>
      <c r="J59" s="892"/>
      <c r="K59" s="688"/>
      <c r="L59" s="687"/>
      <c r="M59" s="689"/>
      <c r="N59" s="689"/>
    </row>
    <row r="60" spans="1:14" ht="49.5" customHeight="1" x14ac:dyDescent="0.25">
      <c r="A60" s="8">
        <f t="shared" si="0"/>
        <v>58</v>
      </c>
      <c r="B60" s="690"/>
      <c r="C60" s="691"/>
      <c r="D60" s="692"/>
      <c r="E60" s="893"/>
      <c r="F60" s="891"/>
      <c r="G60" s="892"/>
      <c r="H60" s="893"/>
      <c r="I60" s="891"/>
      <c r="J60" s="892"/>
      <c r="K60" s="693"/>
      <c r="L60" s="692"/>
      <c r="M60" s="689"/>
      <c r="N60" s="689"/>
    </row>
    <row r="61" spans="1:14" ht="49.5" customHeight="1" x14ac:dyDescent="0.25">
      <c r="A61" s="8">
        <f t="shared" si="0"/>
        <v>59</v>
      </c>
      <c r="B61" s="685"/>
      <c r="C61" s="686"/>
      <c r="D61" s="687"/>
      <c r="E61" s="890"/>
      <c r="F61" s="891"/>
      <c r="G61" s="892"/>
      <c r="H61" s="890"/>
      <c r="I61" s="891"/>
      <c r="J61" s="892"/>
      <c r="K61" s="688"/>
      <c r="L61" s="687"/>
      <c r="M61" s="689"/>
      <c r="N61" s="689"/>
    </row>
    <row r="62" spans="1:14" ht="49.5" customHeight="1" x14ac:dyDescent="0.25">
      <c r="A62" s="8">
        <f t="shared" si="0"/>
        <v>60</v>
      </c>
      <c r="B62" s="690"/>
      <c r="C62" s="691"/>
      <c r="D62" s="692"/>
      <c r="E62" s="893"/>
      <c r="F62" s="891"/>
      <c r="G62" s="892"/>
      <c r="H62" s="893"/>
      <c r="I62" s="891"/>
      <c r="J62" s="892"/>
      <c r="K62" s="693"/>
      <c r="L62" s="692"/>
      <c r="M62" s="689"/>
      <c r="N62" s="689"/>
    </row>
    <row r="63" spans="1:14" ht="49.5" customHeight="1" x14ac:dyDescent="0.25">
      <c r="A63" s="8">
        <f t="shared" si="0"/>
        <v>61</v>
      </c>
      <c r="B63" s="685"/>
      <c r="C63" s="686"/>
      <c r="D63" s="687"/>
      <c r="E63" s="890"/>
      <c r="F63" s="891"/>
      <c r="G63" s="892"/>
      <c r="H63" s="890"/>
      <c r="I63" s="891"/>
      <c r="J63" s="892"/>
      <c r="K63" s="688"/>
      <c r="L63" s="687"/>
      <c r="M63" s="689"/>
      <c r="N63" s="689"/>
    </row>
    <row r="64" spans="1:14" ht="49.5" customHeight="1" x14ac:dyDescent="0.25">
      <c r="A64" s="8">
        <f t="shared" si="0"/>
        <v>62</v>
      </c>
      <c r="B64" s="690"/>
      <c r="C64" s="691"/>
      <c r="D64" s="692"/>
      <c r="E64" s="893"/>
      <c r="F64" s="891"/>
      <c r="G64" s="892"/>
      <c r="H64" s="893"/>
      <c r="I64" s="891"/>
      <c r="J64" s="892"/>
      <c r="K64" s="693"/>
      <c r="L64" s="692"/>
      <c r="M64" s="689"/>
      <c r="N64" s="689"/>
    </row>
    <row r="65" spans="1:14" ht="49.5" customHeight="1" x14ac:dyDescent="0.25">
      <c r="A65" s="8">
        <f t="shared" si="0"/>
        <v>63</v>
      </c>
      <c r="B65" s="685"/>
      <c r="C65" s="686"/>
      <c r="D65" s="687"/>
      <c r="E65" s="890"/>
      <c r="F65" s="891"/>
      <c r="G65" s="892"/>
      <c r="H65" s="890"/>
      <c r="I65" s="891"/>
      <c r="J65" s="892"/>
      <c r="K65" s="688"/>
      <c r="L65" s="687"/>
      <c r="M65" s="689"/>
      <c r="N65" s="689"/>
    </row>
    <row r="66" spans="1:14" ht="49.5" customHeight="1" x14ac:dyDescent="0.25">
      <c r="A66" s="8">
        <f t="shared" si="0"/>
        <v>64</v>
      </c>
      <c r="B66" s="690"/>
      <c r="C66" s="691"/>
      <c r="D66" s="692"/>
      <c r="E66" s="893"/>
      <c r="F66" s="891"/>
      <c r="G66" s="892"/>
      <c r="H66" s="893"/>
      <c r="I66" s="891"/>
      <c r="J66" s="892"/>
      <c r="K66" s="693"/>
      <c r="L66" s="692"/>
      <c r="M66" s="689"/>
      <c r="N66" s="689"/>
    </row>
    <row r="67" spans="1:14" ht="49.5" customHeight="1" x14ac:dyDescent="0.25">
      <c r="A67" s="8">
        <f t="shared" si="0"/>
        <v>65</v>
      </c>
      <c r="B67" s="685"/>
      <c r="C67" s="686"/>
      <c r="D67" s="687"/>
      <c r="E67" s="890"/>
      <c r="F67" s="891"/>
      <c r="G67" s="892"/>
      <c r="H67" s="890"/>
      <c r="I67" s="891"/>
      <c r="J67" s="892"/>
      <c r="K67" s="688"/>
      <c r="L67" s="687"/>
      <c r="M67" s="689"/>
      <c r="N67" s="689"/>
    </row>
    <row r="68" spans="1:14" ht="49.5" customHeight="1" x14ac:dyDescent="0.25">
      <c r="A68" s="8">
        <f t="shared" ref="A68:A131" si="1">ROW(A66)</f>
        <v>66</v>
      </c>
      <c r="B68" s="690"/>
      <c r="C68" s="691"/>
      <c r="D68" s="692"/>
      <c r="E68" s="893"/>
      <c r="F68" s="891"/>
      <c r="G68" s="892"/>
      <c r="H68" s="893"/>
      <c r="I68" s="891"/>
      <c r="J68" s="892"/>
      <c r="K68" s="693"/>
      <c r="L68" s="692"/>
      <c r="M68" s="689"/>
      <c r="N68" s="689"/>
    </row>
    <row r="69" spans="1:14" ht="49.5" customHeight="1" x14ac:dyDescent="0.25">
      <c r="A69" s="8">
        <f t="shared" si="1"/>
        <v>67</v>
      </c>
      <c r="B69" s="685"/>
      <c r="C69" s="686"/>
      <c r="D69" s="687"/>
      <c r="E69" s="890"/>
      <c r="F69" s="891"/>
      <c r="G69" s="892"/>
      <c r="H69" s="890"/>
      <c r="I69" s="891"/>
      <c r="J69" s="892"/>
      <c r="K69" s="688"/>
      <c r="L69" s="687"/>
      <c r="M69" s="689"/>
      <c r="N69" s="689"/>
    </row>
    <row r="70" spans="1:14" ht="49.5" customHeight="1" x14ac:dyDescent="0.25">
      <c r="A70" s="8">
        <f t="shared" si="1"/>
        <v>68</v>
      </c>
      <c r="B70" s="690"/>
      <c r="C70" s="691"/>
      <c r="D70" s="692"/>
      <c r="E70" s="893"/>
      <c r="F70" s="891"/>
      <c r="G70" s="892"/>
      <c r="H70" s="893"/>
      <c r="I70" s="891"/>
      <c r="J70" s="892"/>
      <c r="K70" s="693"/>
      <c r="L70" s="692"/>
      <c r="M70" s="689"/>
      <c r="N70" s="689"/>
    </row>
    <row r="71" spans="1:14" ht="49.5" customHeight="1" x14ac:dyDescent="0.25">
      <c r="A71" s="8">
        <f t="shared" si="1"/>
        <v>69</v>
      </c>
      <c r="B71" s="685"/>
      <c r="C71" s="686"/>
      <c r="D71" s="687"/>
      <c r="E71" s="890"/>
      <c r="F71" s="891"/>
      <c r="G71" s="892"/>
      <c r="H71" s="890"/>
      <c r="I71" s="891"/>
      <c r="J71" s="892"/>
      <c r="K71" s="688"/>
      <c r="L71" s="687"/>
      <c r="M71" s="689"/>
      <c r="N71" s="689"/>
    </row>
    <row r="72" spans="1:14" ht="49.5" customHeight="1" x14ac:dyDescent="0.25">
      <c r="A72" s="8">
        <f t="shared" si="1"/>
        <v>70</v>
      </c>
      <c r="B72" s="690"/>
      <c r="C72" s="691"/>
      <c r="D72" s="692"/>
      <c r="E72" s="893"/>
      <c r="F72" s="891"/>
      <c r="G72" s="892"/>
      <c r="H72" s="893"/>
      <c r="I72" s="891"/>
      <c r="J72" s="892"/>
      <c r="K72" s="693"/>
      <c r="L72" s="692"/>
      <c r="M72" s="689"/>
      <c r="N72" s="689"/>
    </row>
    <row r="73" spans="1:14" ht="49.5" customHeight="1" x14ac:dyDescent="0.25">
      <c r="A73" s="8">
        <f t="shared" si="1"/>
        <v>71</v>
      </c>
      <c r="B73" s="685"/>
      <c r="C73" s="686"/>
      <c r="D73" s="687"/>
      <c r="E73" s="890"/>
      <c r="F73" s="891"/>
      <c r="G73" s="892"/>
      <c r="H73" s="890"/>
      <c r="I73" s="891"/>
      <c r="J73" s="892"/>
      <c r="K73" s="688"/>
      <c r="L73" s="687"/>
      <c r="M73" s="689"/>
      <c r="N73" s="689"/>
    </row>
    <row r="74" spans="1:14" ht="49.5" customHeight="1" x14ac:dyDescent="0.25">
      <c r="A74" s="8">
        <f t="shared" si="1"/>
        <v>72</v>
      </c>
      <c r="B74" s="690"/>
      <c r="C74" s="691"/>
      <c r="D74" s="692"/>
      <c r="E74" s="893"/>
      <c r="F74" s="891"/>
      <c r="G74" s="892"/>
      <c r="H74" s="893"/>
      <c r="I74" s="891"/>
      <c r="J74" s="892"/>
      <c r="K74" s="693"/>
      <c r="L74" s="692"/>
      <c r="M74" s="689"/>
      <c r="N74" s="689"/>
    </row>
    <row r="75" spans="1:14" ht="49.5" customHeight="1" x14ac:dyDescent="0.25">
      <c r="A75" s="8">
        <f t="shared" si="1"/>
        <v>73</v>
      </c>
      <c r="B75" s="685"/>
      <c r="C75" s="686"/>
      <c r="D75" s="687"/>
      <c r="E75" s="890"/>
      <c r="F75" s="891"/>
      <c r="G75" s="892"/>
      <c r="H75" s="890"/>
      <c r="I75" s="891"/>
      <c r="J75" s="892"/>
      <c r="K75" s="688"/>
      <c r="L75" s="687"/>
      <c r="M75" s="689"/>
      <c r="N75" s="689"/>
    </row>
    <row r="76" spans="1:14" ht="49.5" customHeight="1" x14ac:dyDescent="0.25">
      <c r="A76" s="8">
        <f t="shared" si="1"/>
        <v>74</v>
      </c>
      <c r="B76" s="690"/>
      <c r="C76" s="691"/>
      <c r="D76" s="692"/>
      <c r="E76" s="893"/>
      <c r="F76" s="891"/>
      <c r="G76" s="892"/>
      <c r="H76" s="893"/>
      <c r="I76" s="891"/>
      <c r="J76" s="892"/>
      <c r="K76" s="693"/>
      <c r="L76" s="692"/>
      <c r="M76" s="689"/>
      <c r="N76" s="689"/>
    </row>
    <row r="77" spans="1:14" ht="49.5" customHeight="1" x14ac:dyDescent="0.25">
      <c r="A77" s="8">
        <f t="shared" si="1"/>
        <v>75</v>
      </c>
      <c r="B77" s="685"/>
      <c r="C77" s="686"/>
      <c r="D77" s="687"/>
      <c r="E77" s="890"/>
      <c r="F77" s="891"/>
      <c r="G77" s="892"/>
      <c r="H77" s="890"/>
      <c r="I77" s="891"/>
      <c r="J77" s="892"/>
      <c r="K77" s="688"/>
      <c r="L77" s="687"/>
      <c r="M77" s="689"/>
      <c r="N77" s="689"/>
    </row>
    <row r="78" spans="1:14" ht="49.5" customHeight="1" x14ac:dyDescent="0.25">
      <c r="A78" s="8">
        <f t="shared" si="1"/>
        <v>76</v>
      </c>
      <c r="B78" s="690"/>
      <c r="C78" s="691"/>
      <c r="D78" s="692"/>
      <c r="E78" s="893"/>
      <c r="F78" s="891"/>
      <c r="G78" s="892"/>
      <c r="H78" s="893"/>
      <c r="I78" s="891"/>
      <c r="J78" s="892"/>
      <c r="K78" s="693"/>
      <c r="L78" s="692"/>
      <c r="M78" s="689"/>
      <c r="N78" s="689"/>
    </row>
    <row r="79" spans="1:14" ht="49.5" customHeight="1" x14ac:dyDescent="0.25">
      <c r="A79" s="8">
        <f t="shared" si="1"/>
        <v>77</v>
      </c>
      <c r="B79" s="685"/>
      <c r="C79" s="686"/>
      <c r="D79" s="687"/>
      <c r="E79" s="890"/>
      <c r="F79" s="891"/>
      <c r="G79" s="892"/>
      <c r="H79" s="890"/>
      <c r="I79" s="891"/>
      <c r="J79" s="892"/>
      <c r="K79" s="688"/>
      <c r="L79" s="687"/>
      <c r="M79" s="689"/>
      <c r="N79" s="689"/>
    </row>
    <row r="80" spans="1:14" ht="49.5" customHeight="1" x14ac:dyDescent="0.25">
      <c r="A80" s="8">
        <f t="shared" si="1"/>
        <v>78</v>
      </c>
      <c r="B80" s="690"/>
      <c r="C80" s="691"/>
      <c r="D80" s="692"/>
      <c r="E80" s="893"/>
      <c r="F80" s="891"/>
      <c r="G80" s="892"/>
      <c r="H80" s="893"/>
      <c r="I80" s="891"/>
      <c r="J80" s="892"/>
      <c r="K80" s="693"/>
      <c r="L80" s="692"/>
      <c r="M80" s="689"/>
      <c r="N80" s="689"/>
    </row>
    <row r="81" spans="1:14" ht="49.5" customHeight="1" x14ac:dyDescent="0.25">
      <c r="A81" s="8">
        <f t="shared" si="1"/>
        <v>79</v>
      </c>
      <c r="B81" s="685"/>
      <c r="C81" s="686"/>
      <c r="D81" s="687"/>
      <c r="E81" s="890"/>
      <c r="F81" s="891"/>
      <c r="G81" s="892"/>
      <c r="H81" s="890"/>
      <c r="I81" s="891"/>
      <c r="J81" s="892"/>
      <c r="K81" s="688"/>
      <c r="L81" s="687"/>
      <c r="M81" s="689"/>
      <c r="N81" s="689"/>
    </row>
    <row r="82" spans="1:14" ht="49.5" customHeight="1" x14ac:dyDescent="0.25">
      <c r="A82" s="8">
        <f t="shared" si="1"/>
        <v>80</v>
      </c>
      <c r="B82" s="690"/>
      <c r="C82" s="691"/>
      <c r="D82" s="692"/>
      <c r="E82" s="893"/>
      <c r="F82" s="891"/>
      <c r="G82" s="892"/>
      <c r="H82" s="893"/>
      <c r="I82" s="891"/>
      <c r="J82" s="892"/>
      <c r="K82" s="693"/>
      <c r="L82" s="692"/>
      <c r="M82" s="689"/>
      <c r="N82" s="689"/>
    </row>
    <row r="83" spans="1:14" ht="49.5" customHeight="1" x14ac:dyDescent="0.25">
      <c r="A83" s="8">
        <f t="shared" si="1"/>
        <v>81</v>
      </c>
      <c r="B83" s="685"/>
      <c r="C83" s="686"/>
      <c r="D83" s="687"/>
      <c r="E83" s="890"/>
      <c r="F83" s="891"/>
      <c r="G83" s="892"/>
      <c r="H83" s="890"/>
      <c r="I83" s="891"/>
      <c r="J83" s="892"/>
      <c r="K83" s="688"/>
      <c r="L83" s="687"/>
      <c r="M83" s="689"/>
      <c r="N83" s="689"/>
    </row>
    <row r="84" spans="1:14" ht="49.5" customHeight="1" x14ac:dyDescent="0.25">
      <c r="A84" s="8">
        <f t="shared" si="1"/>
        <v>82</v>
      </c>
      <c r="B84" s="690"/>
      <c r="C84" s="691"/>
      <c r="D84" s="692"/>
      <c r="E84" s="893"/>
      <c r="F84" s="891"/>
      <c r="G84" s="892"/>
      <c r="H84" s="893"/>
      <c r="I84" s="891"/>
      <c r="J84" s="892"/>
      <c r="K84" s="693"/>
      <c r="L84" s="692"/>
      <c r="M84" s="689"/>
      <c r="N84" s="689"/>
    </row>
    <row r="85" spans="1:14" ht="49.5" customHeight="1" x14ac:dyDescent="0.25">
      <c r="A85" s="8">
        <f t="shared" si="1"/>
        <v>83</v>
      </c>
      <c r="B85" s="685"/>
      <c r="C85" s="686"/>
      <c r="D85" s="687"/>
      <c r="E85" s="890"/>
      <c r="F85" s="891"/>
      <c r="G85" s="892"/>
      <c r="H85" s="890"/>
      <c r="I85" s="891"/>
      <c r="J85" s="892"/>
      <c r="K85" s="688"/>
      <c r="L85" s="687"/>
      <c r="M85" s="689"/>
      <c r="N85" s="689"/>
    </row>
    <row r="86" spans="1:14" ht="49.5" customHeight="1" x14ac:dyDescent="0.25">
      <c r="A86" s="8">
        <f t="shared" si="1"/>
        <v>84</v>
      </c>
      <c r="B86" s="690"/>
      <c r="C86" s="691"/>
      <c r="D86" s="692"/>
      <c r="E86" s="893"/>
      <c r="F86" s="891"/>
      <c r="G86" s="892"/>
      <c r="H86" s="893"/>
      <c r="I86" s="891"/>
      <c r="J86" s="892"/>
      <c r="K86" s="693"/>
      <c r="L86" s="692"/>
      <c r="M86" s="689"/>
      <c r="N86" s="689"/>
    </row>
    <row r="87" spans="1:14" ht="49.5" customHeight="1" x14ac:dyDescent="0.25">
      <c r="A87" s="8">
        <f t="shared" si="1"/>
        <v>85</v>
      </c>
      <c r="B87" s="685"/>
      <c r="C87" s="686"/>
      <c r="D87" s="687"/>
      <c r="E87" s="890"/>
      <c r="F87" s="891"/>
      <c r="G87" s="892"/>
      <c r="H87" s="890"/>
      <c r="I87" s="891"/>
      <c r="J87" s="892"/>
      <c r="K87" s="688"/>
      <c r="L87" s="687"/>
      <c r="M87" s="689"/>
      <c r="N87" s="689"/>
    </row>
    <row r="88" spans="1:14" ht="49.5" customHeight="1" x14ac:dyDescent="0.25">
      <c r="A88" s="8">
        <f t="shared" si="1"/>
        <v>86</v>
      </c>
      <c r="B88" s="690"/>
      <c r="C88" s="691"/>
      <c r="D88" s="692"/>
      <c r="E88" s="893"/>
      <c r="F88" s="891"/>
      <c r="G88" s="892"/>
      <c r="H88" s="893"/>
      <c r="I88" s="891"/>
      <c r="J88" s="892"/>
      <c r="K88" s="693"/>
      <c r="L88" s="692"/>
      <c r="M88" s="689"/>
      <c r="N88" s="689"/>
    </row>
    <row r="89" spans="1:14" ht="49.5" customHeight="1" x14ac:dyDescent="0.25">
      <c r="A89" s="8">
        <f t="shared" si="1"/>
        <v>87</v>
      </c>
      <c r="B89" s="685"/>
      <c r="C89" s="686"/>
      <c r="D89" s="687"/>
      <c r="E89" s="890"/>
      <c r="F89" s="891"/>
      <c r="G89" s="892"/>
      <c r="H89" s="890"/>
      <c r="I89" s="891"/>
      <c r="J89" s="892"/>
      <c r="K89" s="688"/>
      <c r="L89" s="687"/>
      <c r="M89" s="689"/>
      <c r="N89" s="689"/>
    </row>
    <row r="90" spans="1:14" ht="49.5" customHeight="1" x14ac:dyDescent="0.25">
      <c r="A90" s="8">
        <f t="shared" si="1"/>
        <v>88</v>
      </c>
      <c r="B90" s="690"/>
      <c r="C90" s="691"/>
      <c r="D90" s="692"/>
      <c r="E90" s="893"/>
      <c r="F90" s="891"/>
      <c r="G90" s="892"/>
      <c r="H90" s="893"/>
      <c r="I90" s="891"/>
      <c r="J90" s="892"/>
      <c r="K90" s="694"/>
      <c r="L90" s="695"/>
      <c r="M90" s="689"/>
      <c r="N90" s="689"/>
    </row>
    <row r="91" spans="1:14" ht="49.5" customHeight="1" x14ac:dyDescent="0.25">
      <c r="A91" s="8">
        <f t="shared" si="1"/>
        <v>89</v>
      </c>
      <c r="B91" s="685"/>
      <c r="C91" s="686"/>
      <c r="D91" s="687"/>
      <c r="E91" s="890"/>
      <c r="F91" s="891"/>
      <c r="G91" s="892"/>
      <c r="H91" s="890"/>
      <c r="I91" s="891"/>
      <c r="J91" s="892"/>
      <c r="K91" s="688"/>
      <c r="L91" s="687"/>
      <c r="M91" s="689"/>
      <c r="N91" s="689"/>
    </row>
    <row r="92" spans="1:14" ht="49.5" customHeight="1" x14ac:dyDescent="0.25">
      <c r="A92" s="8">
        <f t="shared" si="1"/>
        <v>90</v>
      </c>
      <c r="B92" s="690"/>
      <c r="C92" s="691"/>
      <c r="D92" s="692"/>
      <c r="E92" s="893"/>
      <c r="F92" s="891"/>
      <c r="G92" s="892"/>
      <c r="H92" s="893"/>
      <c r="I92" s="891"/>
      <c r="J92" s="892"/>
      <c r="K92" s="693"/>
      <c r="L92" s="692"/>
      <c r="M92" s="689"/>
      <c r="N92" s="689"/>
    </row>
    <row r="93" spans="1:14" ht="49.5" customHeight="1" x14ac:dyDescent="0.25">
      <c r="A93" s="8">
        <f t="shared" si="1"/>
        <v>91</v>
      </c>
      <c r="B93" s="685"/>
      <c r="C93" s="686"/>
      <c r="D93" s="687"/>
      <c r="E93" s="890"/>
      <c r="F93" s="891"/>
      <c r="G93" s="892"/>
      <c r="H93" s="890"/>
      <c r="I93" s="891"/>
      <c r="J93" s="892"/>
      <c r="K93" s="688"/>
      <c r="L93" s="687"/>
      <c r="M93" s="689"/>
      <c r="N93" s="689"/>
    </row>
    <row r="94" spans="1:14" ht="49.5" customHeight="1" x14ac:dyDescent="0.25">
      <c r="A94" s="8">
        <f t="shared" si="1"/>
        <v>92</v>
      </c>
      <c r="B94" s="690"/>
      <c r="C94" s="691"/>
      <c r="D94" s="692"/>
      <c r="E94" s="893"/>
      <c r="F94" s="891"/>
      <c r="G94" s="892"/>
      <c r="H94" s="893"/>
      <c r="I94" s="891"/>
      <c r="J94" s="892"/>
      <c r="K94" s="693"/>
      <c r="L94" s="692"/>
      <c r="M94" s="689"/>
      <c r="N94" s="689"/>
    </row>
    <row r="95" spans="1:14" ht="49.5" customHeight="1" x14ac:dyDescent="0.25">
      <c r="A95" s="8">
        <f t="shared" si="1"/>
        <v>93</v>
      </c>
      <c r="B95" s="685"/>
      <c r="C95" s="686"/>
      <c r="D95" s="687"/>
      <c r="E95" s="890"/>
      <c r="F95" s="891"/>
      <c r="G95" s="892"/>
      <c r="H95" s="897"/>
      <c r="I95" s="898"/>
      <c r="J95" s="899"/>
      <c r="K95" s="688"/>
      <c r="L95" s="696"/>
      <c r="M95" s="689"/>
      <c r="N95" s="689"/>
    </row>
    <row r="96" spans="1:14" ht="49.5" customHeight="1" x14ac:dyDescent="0.25">
      <c r="A96" s="8">
        <f t="shared" si="1"/>
        <v>94</v>
      </c>
      <c r="B96" s="690"/>
      <c r="C96" s="691"/>
      <c r="D96" s="692"/>
      <c r="E96" s="893"/>
      <c r="F96" s="891"/>
      <c r="G96" s="892"/>
      <c r="H96" s="893"/>
      <c r="I96" s="891"/>
      <c r="J96" s="892"/>
      <c r="K96" s="693"/>
      <c r="L96" s="692"/>
      <c r="M96" s="689"/>
      <c r="N96" s="689"/>
    </row>
    <row r="97" spans="1:14" ht="49.5" customHeight="1" x14ac:dyDescent="0.25">
      <c r="A97" s="8">
        <f t="shared" si="1"/>
        <v>95</v>
      </c>
      <c r="B97" s="685"/>
      <c r="C97" s="686"/>
      <c r="D97" s="687"/>
      <c r="E97" s="890"/>
      <c r="F97" s="891"/>
      <c r="G97" s="892"/>
      <c r="H97" s="890"/>
      <c r="I97" s="891"/>
      <c r="J97" s="892"/>
      <c r="K97" s="688"/>
      <c r="L97" s="687"/>
      <c r="M97" s="689"/>
      <c r="N97" s="689"/>
    </row>
    <row r="98" spans="1:14" ht="49.5" customHeight="1" x14ac:dyDescent="0.25">
      <c r="A98" s="8">
        <f t="shared" si="1"/>
        <v>96</v>
      </c>
      <c r="B98" s="690"/>
      <c r="C98" s="691"/>
      <c r="D98" s="692"/>
      <c r="E98" s="893"/>
      <c r="F98" s="891"/>
      <c r="G98" s="892"/>
      <c r="H98" s="893"/>
      <c r="I98" s="891"/>
      <c r="J98" s="892"/>
      <c r="K98" s="693"/>
      <c r="L98" s="692"/>
      <c r="M98" s="689"/>
      <c r="N98" s="689"/>
    </row>
    <row r="99" spans="1:14" ht="49.5" customHeight="1" x14ac:dyDescent="0.25">
      <c r="A99" s="8">
        <f t="shared" si="1"/>
        <v>97</v>
      </c>
      <c r="B99" s="685"/>
      <c r="C99" s="686"/>
      <c r="D99" s="687"/>
      <c r="E99" s="890"/>
      <c r="F99" s="891"/>
      <c r="G99" s="892"/>
      <c r="H99" s="890"/>
      <c r="I99" s="891"/>
      <c r="J99" s="892"/>
      <c r="K99" s="688"/>
      <c r="L99" s="687"/>
      <c r="M99" s="689"/>
      <c r="N99" s="689"/>
    </row>
    <row r="100" spans="1:14" ht="49.5" customHeight="1" x14ac:dyDescent="0.25">
      <c r="A100" s="8">
        <f t="shared" si="1"/>
        <v>98</v>
      </c>
      <c r="B100" s="690"/>
      <c r="C100" s="691"/>
      <c r="D100" s="692"/>
      <c r="E100" s="893"/>
      <c r="F100" s="891"/>
      <c r="G100" s="892"/>
      <c r="H100" s="893"/>
      <c r="I100" s="891"/>
      <c r="J100" s="892"/>
      <c r="K100" s="693"/>
      <c r="L100" s="692"/>
      <c r="M100" s="689"/>
      <c r="N100" s="689"/>
    </row>
    <row r="101" spans="1:14" ht="49.5" customHeight="1" x14ac:dyDescent="0.25">
      <c r="A101" s="8">
        <f t="shared" si="1"/>
        <v>99</v>
      </c>
      <c r="B101" s="685"/>
      <c r="C101" s="686"/>
      <c r="D101" s="687"/>
      <c r="E101" s="890"/>
      <c r="F101" s="891"/>
      <c r="G101" s="892"/>
      <c r="H101" s="890"/>
      <c r="I101" s="891"/>
      <c r="J101" s="892"/>
      <c r="K101" s="688"/>
      <c r="L101" s="687"/>
      <c r="M101" s="689"/>
      <c r="N101" s="689"/>
    </row>
    <row r="102" spans="1:14" ht="49.5" customHeight="1" x14ac:dyDescent="0.25">
      <c r="A102" s="8">
        <f t="shared" si="1"/>
        <v>100</v>
      </c>
      <c r="B102" s="690"/>
      <c r="C102" s="691"/>
      <c r="D102" s="692"/>
      <c r="E102" s="893"/>
      <c r="F102" s="891"/>
      <c r="G102" s="892"/>
      <c r="H102" s="893"/>
      <c r="I102" s="891"/>
      <c r="J102" s="892"/>
      <c r="K102" s="693"/>
      <c r="L102" s="692"/>
      <c r="M102" s="689"/>
      <c r="N102" s="689"/>
    </row>
    <row r="103" spans="1:14" ht="49.5" customHeight="1" x14ac:dyDescent="0.25">
      <c r="A103" s="8">
        <f t="shared" si="1"/>
        <v>101</v>
      </c>
      <c r="B103" s="685"/>
      <c r="C103" s="686"/>
      <c r="D103" s="687"/>
      <c r="E103" s="890"/>
      <c r="F103" s="891"/>
      <c r="G103" s="892"/>
      <c r="H103" s="890"/>
      <c r="I103" s="891"/>
      <c r="J103" s="892"/>
      <c r="K103" s="688"/>
      <c r="L103" s="687"/>
      <c r="M103" s="689"/>
      <c r="N103" s="689"/>
    </row>
    <row r="104" spans="1:14" ht="49.5" customHeight="1" x14ac:dyDescent="0.25">
      <c r="A104" s="8">
        <f t="shared" si="1"/>
        <v>102</v>
      </c>
      <c r="B104" s="690"/>
      <c r="C104" s="691"/>
      <c r="D104" s="692"/>
      <c r="E104" s="893"/>
      <c r="F104" s="891"/>
      <c r="G104" s="892"/>
      <c r="H104" s="890"/>
      <c r="I104" s="891"/>
      <c r="J104" s="892"/>
      <c r="K104" s="693"/>
      <c r="L104" s="687"/>
      <c r="M104" s="689"/>
      <c r="N104" s="689"/>
    </row>
    <row r="105" spans="1:14" ht="49.5" customHeight="1" x14ac:dyDescent="0.25">
      <c r="A105" s="8">
        <f t="shared" si="1"/>
        <v>103</v>
      </c>
      <c r="B105" s="685"/>
      <c r="C105" s="686"/>
      <c r="D105" s="687"/>
      <c r="E105" s="890"/>
      <c r="F105" s="891"/>
      <c r="G105" s="892"/>
      <c r="H105" s="890"/>
      <c r="I105" s="891"/>
      <c r="J105" s="892"/>
      <c r="K105" s="688"/>
      <c r="L105" s="687"/>
      <c r="M105" s="689"/>
      <c r="N105" s="689"/>
    </row>
    <row r="106" spans="1:14" ht="49.5" customHeight="1" x14ac:dyDescent="0.25">
      <c r="A106" s="8">
        <f t="shared" si="1"/>
        <v>104</v>
      </c>
      <c r="B106" s="690"/>
      <c r="C106" s="691"/>
      <c r="D106" s="692"/>
      <c r="E106" s="893"/>
      <c r="F106" s="891"/>
      <c r="G106" s="892"/>
      <c r="H106" s="893"/>
      <c r="I106" s="891"/>
      <c r="J106" s="892"/>
      <c r="K106" s="693"/>
      <c r="L106" s="692"/>
      <c r="M106" s="689"/>
      <c r="N106" s="689"/>
    </row>
    <row r="107" spans="1:14" ht="49.5" customHeight="1" x14ac:dyDescent="0.25">
      <c r="A107" s="8">
        <f t="shared" si="1"/>
        <v>105</v>
      </c>
      <c r="B107" s="685"/>
      <c r="C107" s="686"/>
      <c r="D107" s="687"/>
      <c r="E107" s="890"/>
      <c r="F107" s="891"/>
      <c r="G107" s="892"/>
      <c r="H107" s="890"/>
      <c r="I107" s="891"/>
      <c r="J107" s="892"/>
      <c r="K107" s="688"/>
      <c r="L107" s="687"/>
      <c r="M107" s="689"/>
      <c r="N107" s="689"/>
    </row>
    <row r="108" spans="1:14" ht="49.5" customHeight="1" x14ac:dyDescent="0.25">
      <c r="A108" s="8">
        <f t="shared" si="1"/>
        <v>106</v>
      </c>
      <c r="B108" s="690"/>
      <c r="C108" s="691"/>
      <c r="D108" s="692"/>
      <c r="E108" s="893"/>
      <c r="F108" s="891"/>
      <c r="G108" s="892"/>
      <c r="H108" s="890"/>
      <c r="I108" s="891"/>
      <c r="J108" s="892"/>
      <c r="K108" s="693"/>
      <c r="L108" s="687"/>
      <c r="M108" s="689"/>
      <c r="N108" s="689"/>
    </row>
    <row r="109" spans="1:14" ht="49.5" customHeight="1" x14ac:dyDescent="0.25">
      <c r="A109" s="8">
        <f t="shared" si="1"/>
        <v>107</v>
      </c>
      <c r="B109" s="685"/>
      <c r="C109" s="686"/>
      <c r="D109" s="687"/>
      <c r="E109" s="890"/>
      <c r="F109" s="891"/>
      <c r="G109" s="892"/>
      <c r="H109" s="890"/>
      <c r="I109" s="891"/>
      <c r="J109" s="892"/>
      <c r="K109" s="688"/>
      <c r="L109" s="687"/>
      <c r="M109" s="689"/>
      <c r="N109" s="689"/>
    </row>
    <row r="110" spans="1:14" ht="49.5" customHeight="1" x14ac:dyDescent="0.25">
      <c r="A110" s="8">
        <f t="shared" si="1"/>
        <v>108</v>
      </c>
      <c r="B110" s="690"/>
      <c r="C110" s="691"/>
      <c r="D110" s="692"/>
      <c r="E110" s="893"/>
      <c r="F110" s="891"/>
      <c r="G110" s="892"/>
      <c r="H110" s="893"/>
      <c r="I110" s="891"/>
      <c r="J110" s="892"/>
      <c r="K110" s="693"/>
      <c r="L110" s="692"/>
      <c r="M110" s="689"/>
      <c r="N110" s="689"/>
    </row>
    <row r="111" spans="1:14" ht="49.5" customHeight="1" x14ac:dyDescent="0.25">
      <c r="A111" s="8">
        <f t="shared" si="1"/>
        <v>109</v>
      </c>
      <c r="B111" s="685"/>
      <c r="C111" s="686"/>
      <c r="D111" s="687"/>
      <c r="E111" s="890"/>
      <c r="F111" s="891"/>
      <c r="G111" s="892"/>
      <c r="H111" s="890"/>
      <c r="I111" s="891"/>
      <c r="J111" s="892"/>
      <c r="K111" s="688"/>
      <c r="L111" s="687"/>
      <c r="M111" s="689"/>
      <c r="N111" s="689"/>
    </row>
    <row r="112" spans="1:14" ht="49.5" customHeight="1" x14ac:dyDescent="0.25">
      <c r="A112" s="8">
        <f t="shared" si="1"/>
        <v>110</v>
      </c>
      <c r="B112" s="690"/>
      <c r="C112" s="691"/>
      <c r="D112" s="692"/>
      <c r="E112" s="893"/>
      <c r="F112" s="891"/>
      <c r="G112" s="892"/>
      <c r="H112" s="893"/>
      <c r="I112" s="891"/>
      <c r="J112" s="892"/>
      <c r="K112" s="693"/>
      <c r="L112" s="692"/>
      <c r="M112" s="689"/>
      <c r="N112" s="689"/>
    </row>
    <row r="113" spans="1:14" ht="49.5" customHeight="1" x14ac:dyDescent="0.25">
      <c r="A113" s="8">
        <f t="shared" si="1"/>
        <v>111</v>
      </c>
      <c r="B113" s="685"/>
      <c r="C113" s="686"/>
      <c r="D113" s="687"/>
      <c r="E113" s="890"/>
      <c r="F113" s="891"/>
      <c r="G113" s="892"/>
      <c r="H113" s="890"/>
      <c r="I113" s="891"/>
      <c r="J113" s="892"/>
      <c r="K113" s="688"/>
      <c r="L113" s="687"/>
      <c r="M113" s="689"/>
      <c r="N113" s="689"/>
    </row>
    <row r="114" spans="1:14" ht="49.5" customHeight="1" x14ac:dyDescent="0.25">
      <c r="A114" s="8">
        <f t="shared" si="1"/>
        <v>112</v>
      </c>
      <c r="B114" s="690"/>
      <c r="C114" s="691"/>
      <c r="D114" s="692"/>
      <c r="E114" s="893"/>
      <c r="F114" s="891"/>
      <c r="G114" s="892"/>
      <c r="H114" s="893"/>
      <c r="I114" s="891"/>
      <c r="J114" s="892"/>
      <c r="K114" s="693"/>
      <c r="L114" s="692"/>
      <c r="M114" s="689"/>
      <c r="N114" s="689"/>
    </row>
    <row r="115" spans="1:14" ht="49.5" customHeight="1" x14ac:dyDescent="0.25">
      <c r="A115" s="8">
        <f t="shared" si="1"/>
        <v>113</v>
      </c>
      <c r="B115" s="685"/>
      <c r="C115" s="686"/>
      <c r="D115" s="687"/>
      <c r="E115" s="890"/>
      <c r="F115" s="891"/>
      <c r="G115" s="892"/>
      <c r="H115" s="890"/>
      <c r="I115" s="891"/>
      <c r="J115" s="892"/>
      <c r="K115" s="688"/>
      <c r="L115" s="687"/>
      <c r="M115" s="689"/>
      <c r="N115" s="689"/>
    </row>
    <row r="116" spans="1:14" ht="49.5" customHeight="1" x14ac:dyDescent="0.25">
      <c r="A116" s="8">
        <f t="shared" si="1"/>
        <v>114</v>
      </c>
      <c r="B116" s="690"/>
      <c r="C116" s="691"/>
      <c r="D116" s="692"/>
      <c r="E116" s="893"/>
      <c r="F116" s="891"/>
      <c r="G116" s="892"/>
      <c r="H116" s="893"/>
      <c r="I116" s="891"/>
      <c r="J116" s="892"/>
      <c r="K116" s="693"/>
      <c r="L116" s="692"/>
      <c r="M116" s="689"/>
      <c r="N116" s="689"/>
    </row>
    <row r="117" spans="1:14" ht="49.5" customHeight="1" x14ac:dyDescent="0.25">
      <c r="A117" s="8">
        <f t="shared" si="1"/>
        <v>115</v>
      </c>
      <c r="B117" s="685"/>
      <c r="C117" s="686"/>
      <c r="D117" s="687"/>
      <c r="E117" s="890"/>
      <c r="F117" s="891"/>
      <c r="G117" s="892"/>
      <c r="H117" s="890"/>
      <c r="I117" s="891"/>
      <c r="J117" s="892"/>
      <c r="K117" s="688"/>
      <c r="L117" s="687"/>
      <c r="M117" s="689"/>
      <c r="N117" s="689"/>
    </row>
    <row r="118" spans="1:14" ht="49.5" customHeight="1" x14ac:dyDescent="0.25">
      <c r="A118" s="8">
        <f t="shared" si="1"/>
        <v>116</v>
      </c>
      <c r="B118" s="690"/>
      <c r="C118" s="691"/>
      <c r="D118" s="692"/>
      <c r="E118" s="893"/>
      <c r="F118" s="891"/>
      <c r="G118" s="892"/>
      <c r="H118" s="893"/>
      <c r="I118" s="891"/>
      <c r="J118" s="892"/>
      <c r="K118" s="693"/>
      <c r="L118" s="692"/>
      <c r="M118" s="689"/>
      <c r="N118" s="689"/>
    </row>
    <row r="119" spans="1:14" ht="49.5" customHeight="1" x14ac:dyDescent="0.25">
      <c r="A119" s="8">
        <f t="shared" si="1"/>
        <v>117</v>
      </c>
      <c r="B119" s="685"/>
      <c r="C119" s="686"/>
      <c r="D119" s="687"/>
      <c r="E119" s="890"/>
      <c r="F119" s="891"/>
      <c r="G119" s="892"/>
      <c r="H119" s="890"/>
      <c r="I119" s="891"/>
      <c r="J119" s="892"/>
      <c r="K119" s="688"/>
      <c r="L119" s="687"/>
      <c r="M119" s="689"/>
      <c r="N119" s="689"/>
    </row>
    <row r="120" spans="1:14" ht="49.5" customHeight="1" x14ac:dyDescent="0.25">
      <c r="A120" s="8">
        <f t="shared" si="1"/>
        <v>118</v>
      </c>
      <c r="B120" s="690"/>
      <c r="C120" s="691"/>
      <c r="D120" s="692"/>
      <c r="E120" s="893"/>
      <c r="F120" s="891"/>
      <c r="G120" s="892"/>
      <c r="H120" s="893"/>
      <c r="I120" s="891"/>
      <c r="J120" s="892"/>
      <c r="K120" s="693"/>
      <c r="L120" s="692"/>
      <c r="M120" s="689"/>
      <c r="N120" s="689"/>
    </row>
    <row r="121" spans="1:14" ht="49.5" customHeight="1" x14ac:dyDescent="0.25">
      <c r="A121" s="8">
        <f t="shared" si="1"/>
        <v>119</v>
      </c>
      <c r="B121" s="685"/>
      <c r="C121" s="686"/>
      <c r="D121" s="687"/>
      <c r="E121" s="890"/>
      <c r="F121" s="891"/>
      <c r="G121" s="892"/>
      <c r="H121" s="890"/>
      <c r="I121" s="891"/>
      <c r="J121" s="892"/>
      <c r="K121" s="688"/>
      <c r="L121" s="687"/>
      <c r="M121" s="689"/>
      <c r="N121" s="689"/>
    </row>
    <row r="122" spans="1:14" ht="49.5" customHeight="1" x14ac:dyDescent="0.25">
      <c r="A122" s="8">
        <f t="shared" si="1"/>
        <v>120</v>
      </c>
      <c r="B122" s="690"/>
      <c r="C122" s="691"/>
      <c r="D122" s="692"/>
      <c r="E122" s="893"/>
      <c r="F122" s="891"/>
      <c r="G122" s="892"/>
      <c r="H122" s="893"/>
      <c r="I122" s="891"/>
      <c r="J122" s="892"/>
      <c r="K122" s="693"/>
      <c r="L122" s="692"/>
      <c r="M122" s="689"/>
      <c r="N122" s="689"/>
    </row>
    <row r="123" spans="1:14" ht="49.5" customHeight="1" x14ac:dyDescent="0.25">
      <c r="A123" s="8">
        <f t="shared" si="1"/>
        <v>121</v>
      </c>
      <c r="B123" s="685"/>
      <c r="C123" s="686"/>
      <c r="D123" s="687"/>
      <c r="E123" s="890"/>
      <c r="F123" s="891"/>
      <c r="G123" s="892"/>
      <c r="H123" s="890"/>
      <c r="I123" s="891"/>
      <c r="J123" s="892"/>
      <c r="K123" s="688"/>
      <c r="L123" s="687"/>
      <c r="M123" s="689"/>
      <c r="N123" s="689"/>
    </row>
    <row r="124" spans="1:14" ht="49.5" customHeight="1" x14ac:dyDescent="0.25">
      <c r="A124" s="8">
        <f t="shared" si="1"/>
        <v>122</v>
      </c>
      <c r="B124" s="690"/>
      <c r="C124" s="691"/>
      <c r="D124" s="692"/>
      <c r="E124" s="893"/>
      <c r="F124" s="891"/>
      <c r="G124" s="892"/>
      <c r="H124" s="893"/>
      <c r="I124" s="891"/>
      <c r="J124" s="892"/>
      <c r="K124" s="693"/>
      <c r="L124" s="692"/>
      <c r="M124" s="689"/>
      <c r="N124" s="689"/>
    </row>
    <row r="125" spans="1:14" ht="49.5" customHeight="1" x14ac:dyDescent="0.25">
      <c r="A125" s="8">
        <f t="shared" si="1"/>
        <v>123</v>
      </c>
      <c r="B125" s="685"/>
      <c r="C125" s="686"/>
      <c r="D125" s="687"/>
      <c r="E125" s="890"/>
      <c r="F125" s="891"/>
      <c r="G125" s="892"/>
      <c r="H125" s="890"/>
      <c r="I125" s="891"/>
      <c r="J125" s="892"/>
      <c r="K125" s="688"/>
      <c r="L125" s="687"/>
      <c r="M125" s="689"/>
      <c r="N125" s="689"/>
    </row>
    <row r="126" spans="1:14" ht="49.5" customHeight="1" x14ac:dyDescent="0.25">
      <c r="A126" s="8">
        <f t="shared" si="1"/>
        <v>124</v>
      </c>
      <c r="B126" s="690"/>
      <c r="C126" s="691"/>
      <c r="D126" s="692"/>
      <c r="E126" s="893"/>
      <c r="F126" s="891"/>
      <c r="G126" s="892"/>
      <c r="H126" s="893"/>
      <c r="I126" s="891"/>
      <c r="J126" s="892"/>
      <c r="K126" s="693"/>
      <c r="L126" s="692"/>
      <c r="M126" s="689"/>
      <c r="N126" s="689"/>
    </row>
    <row r="127" spans="1:14" ht="49.5" customHeight="1" x14ac:dyDescent="0.25">
      <c r="A127" s="8">
        <f t="shared" si="1"/>
        <v>125</v>
      </c>
      <c r="B127" s="685"/>
      <c r="C127" s="686"/>
      <c r="D127" s="687"/>
      <c r="E127" s="890"/>
      <c r="F127" s="891"/>
      <c r="G127" s="892"/>
      <c r="H127" s="890"/>
      <c r="I127" s="891"/>
      <c r="J127" s="892"/>
      <c r="K127" s="688"/>
      <c r="L127" s="687"/>
      <c r="M127" s="689"/>
      <c r="N127" s="689"/>
    </row>
    <row r="128" spans="1:14" ht="49.5" customHeight="1" x14ac:dyDescent="0.25">
      <c r="A128" s="8">
        <f t="shared" si="1"/>
        <v>126</v>
      </c>
      <c r="B128" s="690"/>
      <c r="C128" s="691"/>
      <c r="D128" s="692"/>
      <c r="E128" s="893"/>
      <c r="F128" s="891"/>
      <c r="G128" s="892"/>
      <c r="H128" s="893"/>
      <c r="I128" s="891"/>
      <c r="J128" s="892"/>
      <c r="K128" s="693"/>
      <c r="L128" s="692"/>
      <c r="M128" s="689"/>
      <c r="N128" s="689"/>
    </row>
    <row r="129" spans="1:14" ht="49.5" customHeight="1" x14ac:dyDescent="0.25">
      <c r="A129" s="8">
        <f t="shared" si="1"/>
        <v>127</v>
      </c>
      <c r="B129" s="685"/>
      <c r="C129" s="686"/>
      <c r="D129" s="687"/>
      <c r="E129" s="890"/>
      <c r="F129" s="891"/>
      <c r="G129" s="892"/>
      <c r="H129" s="890"/>
      <c r="I129" s="891"/>
      <c r="J129" s="892"/>
      <c r="K129" s="688"/>
      <c r="L129" s="687"/>
      <c r="M129" s="689"/>
      <c r="N129" s="689"/>
    </row>
    <row r="130" spans="1:14" ht="49.5" customHeight="1" x14ac:dyDescent="0.25">
      <c r="A130" s="8">
        <f t="shared" si="1"/>
        <v>128</v>
      </c>
      <c r="B130" s="690"/>
      <c r="C130" s="691"/>
      <c r="D130" s="692"/>
      <c r="E130" s="893"/>
      <c r="F130" s="891"/>
      <c r="G130" s="892"/>
      <c r="H130" s="893"/>
      <c r="I130" s="891"/>
      <c r="J130" s="892"/>
      <c r="K130" s="693"/>
      <c r="L130" s="692"/>
      <c r="M130" s="689"/>
      <c r="N130" s="689"/>
    </row>
    <row r="131" spans="1:14" ht="49.5" customHeight="1" x14ac:dyDescent="0.25">
      <c r="A131" s="8">
        <f t="shared" si="1"/>
        <v>129</v>
      </c>
      <c r="B131" s="685"/>
      <c r="C131" s="686"/>
      <c r="D131" s="687"/>
      <c r="E131" s="890"/>
      <c r="F131" s="891"/>
      <c r="G131" s="892"/>
      <c r="H131" s="890"/>
      <c r="I131" s="891"/>
      <c r="J131" s="892"/>
      <c r="K131" s="688"/>
      <c r="L131" s="687"/>
      <c r="M131" s="689"/>
      <c r="N131" s="689"/>
    </row>
    <row r="132" spans="1:14" ht="49.5" customHeight="1" x14ac:dyDescent="0.25">
      <c r="A132" s="8">
        <f t="shared" ref="A132:A195" si="2">ROW(A130)</f>
        <v>130</v>
      </c>
      <c r="B132" s="690"/>
      <c r="C132" s="691"/>
      <c r="D132" s="692"/>
      <c r="E132" s="893"/>
      <c r="F132" s="891"/>
      <c r="G132" s="892"/>
      <c r="H132" s="893"/>
      <c r="I132" s="891"/>
      <c r="J132" s="892"/>
      <c r="K132" s="693"/>
      <c r="L132" s="692"/>
      <c r="M132" s="689"/>
      <c r="N132" s="689"/>
    </row>
    <row r="133" spans="1:14" ht="49.5" customHeight="1" x14ac:dyDescent="0.25">
      <c r="A133" s="8">
        <f t="shared" si="2"/>
        <v>131</v>
      </c>
      <c r="B133" s="685"/>
      <c r="C133" s="686"/>
      <c r="D133" s="687"/>
      <c r="E133" s="890"/>
      <c r="F133" s="891"/>
      <c r="G133" s="892"/>
      <c r="H133" s="890"/>
      <c r="I133" s="891"/>
      <c r="J133" s="892"/>
      <c r="K133" s="688"/>
      <c r="L133" s="687"/>
      <c r="M133" s="689"/>
      <c r="N133" s="689"/>
    </row>
    <row r="134" spans="1:14" ht="49.5" customHeight="1" x14ac:dyDescent="0.25">
      <c r="A134" s="8">
        <f t="shared" si="2"/>
        <v>132</v>
      </c>
      <c r="B134" s="690"/>
      <c r="C134" s="691"/>
      <c r="D134" s="692"/>
      <c r="E134" s="893"/>
      <c r="F134" s="891"/>
      <c r="G134" s="892"/>
      <c r="H134" s="893"/>
      <c r="I134" s="891"/>
      <c r="J134" s="892"/>
      <c r="K134" s="693"/>
      <c r="L134" s="692"/>
      <c r="M134" s="689"/>
      <c r="N134" s="689"/>
    </row>
    <row r="135" spans="1:14" ht="49.5" customHeight="1" x14ac:dyDescent="0.25">
      <c r="A135" s="8">
        <f t="shared" si="2"/>
        <v>133</v>
      </c>
      <c r="B135" s="685"/>
      <c r="C135" s="686"/>
      <c r="D135" s="687"/>
      <c r="E135" s="890"/>
      <c r="F135" s="891"/>
      <c r="G135" s="892"/>
      <c r="H135" s="890"/>
      <c r="I135" s="891"/>
      <c r="J135" s="892"/>
      <c r="K135" s="688"/>
      <c r="L135" s="687"/>
      <c r="M135" s="689"/>
      <c r="N135" s="689"/>
    </row>
    <row r="136" spans="1:14" ht="49.5" customHeight="1" x14ac:dyDescent="0.25">
      <c r="A136" s="8">
        <f t="shared" si="2"/>
        <v>134</v>
      </c>
      <c r="B136" s="690"/>
      <c r="C136" s="691"/>
      <c r="D136" s="692"/>
      <c r="E136" s="893"/>
      <c r="F136" s="891"/>
      <c r="G136" s="892"/>
      <c r="H136" s="893"/>
      <c r="I136" s="891"/>
      <c r="J136" s="892"/>
      <c r="K136" s="693"/>
      <c r="L136" s="692"/>
      <c r="M136" s="689"/>
      <c r="N136" s="689"/>
    </row>
    <row r="137" spans="1:14" ht="49.5" customHeight="1" x14ac:dyDescent="0.25">
      <c r="A137" s="8">
        <f t="shared" si="2"/>
        <v>135</v>
      </c>
      <c r="B137" s="685"/>
      <c r="C137" s="686"/>
      <c r="D137" s="687"/>
      <c r="E137" s="890"/>
      <c r="F137" s="891"/>
      <c r="G137" s="892"/>
      <c r="H137" s="890"/>
      <c r="I137" s="891"/>
      <c r="J137" s="892"/>
      <c r="K137" s="688"/>
      <c r="L137" s="687"/>
      <c r="M137" s="689"/>
      <c r="N137" s="689"/>
    </row>
    <row r="138" spans="1:14" ht="49.5" customHeight="1" x14ac:dyDescent="0.25">
      <c r="A138" s="8">
        <f t="shared" si="2"/>
        <v>136</v>
      </c>
      <c r="B138" s="690"/>
      <c r="C138" s="691"/>
      <c r="D138" s="692"/>
      <c r="E138" s="893"/>
      <c r="F138" s="891"/>
      <c r="G138" s="892"/>
      <c r="H138" s="893"/>
      <c r="I138" s="891"/>
      <c r="J138" s="892"/>
      <c r="K138" s="693"/>
      <c r="L138" s="692"/>
      <c r="M138" s="689"/>
      <c r="N138" s="689"/>
    </row>
    <row r="139" spans="1:14" ht="49.5" customHeight="1" x14ac:dyDescent="0.25">
      <c r="A139" s="8">
        <f t="shared" si="2"/>
        <v>137</v>
      </c>
      <c r="B139" s="685"/>
      <c r="C139" s="686"/>
      <c r="D139" s="687"/>
      <c r="E139" s="890"/>
      <c r="F139" s="891"/>
      <c r="G139" s="892"/>
      <c r="H139" s="890"/>
      <c r="I139" s="891"/>
      <c r="J139" s="892"/>
      <c r="K139" s="688"/>
      <c r="L139" s="687"/>
      <c r="M139" s="689"/>
      <c r="N139" s="689"/>
    </row>
    <row r="140" spans="1:14" ht="49.5" customHeight="1" x14ac:dyDescent="0.25">
      <c r="A140" s="8">
        <f t="shared" si="2"/>
        <v>138</v>
      </c>
      <c r="B140" s="690"/>
      <c r="C140" s="691"/>
      <c r="D140" s="692"/>
      <c r="E140" s="893"/>
      <c r="F140" s="891"/>
      <c r="G140" s="892"/>
      <c r="H140" s="893"/>
      <c r="I140" s="891"/>
      <c r="J140" s="892"/>
      <c r="K140" s="693"/>
      <c r="L140" s="692"/>
      <c r="M140" s="689"/>
      <c r="N140" s="689"/>
    </row>
    <row r="141" spans="1:14" ht="49.5" customHeight="1" x14ac:dyDescent="0.25">
      <c r="A141" s="8">
        <f t="shared" si="2"/>
        <v>139</v>
      </c>
      <c r="B141" s="685"/>
      <c r="C141" s="686"/>
      <c r="D141" s="687"/>
      <c r="E141" s="890"/>
      <c r="F141" s="891"/>
      <c r="G141" s="892"/>
      <c r="H141" s="890"/>
      <c r="I141" s="891"/>
      <c r="J141" s="892"/>
      <c r="K141" s="688"/>
      <c r="L141" s="687"/>
      <c r="M141" s="689"/>
      <c r="N141" s="689"/>
    </row>
    <row r="142" spans="1:14" ht="49.5" customHeight="1" x14ac:dyDescent="0.25">
      <c r="A142" s="8">
        <f t="shared" si="2"/>
        <v>140</v>
      </c>
      <c r="B142" s="690"/>
      <c r="C142" s="691"/>
      <c r="D142" s="692"/>
      <c r="E142" s="893"/>
      <c r="F142" s="891"/>
      <c r="G142" s="892"/>
      <c r="H142" s="893"/>
      <c r="I142" s="891"/>
      <c r="J142" s="892"/>
      <c r="K142" s="693"/>
      <c r="L142" s="692"/>
      <c r="M142" s="689"/>
      <c r="N142" s="689"/>
    </row>
    <row r="143" spans="1:14" ht="49.5" customHeight="1" x14ac:dyDescent="0.25">
      <c r="A143" s="8">
        <f t="shared" si="2"/>
        <v>141</v>
      </c>
      <c r="B143" s="685"/>
      <c r="C143" s="686"/>
      <c r="D143" s="687"/>
      <c r="E143" s="890"/>
      <c r="F143" s="891"/>
      <c r="G143" s="892"/>
      <c r="H143" s="890"/>
      <c r="I143" s="891"/>
      <c r="J143" s="892"/>
      <c r="K143" s="688"/>
      <c r="L143" s="687"/>
      <c r="M143" s="689"/>
      <c r="N143" s="689"/>
    </row>
    <row r="144" spans="1:14" ht="49.5" customHeight="1" x14ac:dyDescent="0.25">
      <c r="A144" s="8">
        <f t="shared" si="2"/>
        <v>142</v>
      </c>
      <c r="B144" s="690"/>
      <c r="C144" s="691"/>
      <c r="D144" s="692"/>
      <c r="E144" s="893"/>
      <c r="F144" s="891"/>
      <c r="G144" s="892"/>
      <c r="H144" s="893"/>
      <c r="I144" s="891"/>
      <c r="J144" s="892"/>
      <c r="K144" s="693"/>
      <c r="L144" s="692"/>
      <c r="M144" s="689"/>
      <c r="N144" s="689"/>
    </row>
    <row r="145" spans="1:14" ht="49.5" customHeight="1" x14ac:dyDescent="0.25">
      <c r="A145" s="8">
        <f t="shared" si="2"/>
        <v>143</v>
      </c>
      <c r="B145" s="685"/>
      <c r="C145" s="686"/>
      <c r="D145" s="687"/>
      <c r="E145" s="890"/>
      <c r="F145" s="891"/>
      <c r="G145" s="892"/>
      <c r="H145" s="890"/>
      <c r="I145" s="891"/>
      <c r="J145" s="892"/>
      <c r="K145" s="688"/>
      <c r="L145" s="687"/>
      <c r="M145" s="689"/>
      <c r="N145" s="689"/>
    </row>
    <row r="146" spans="1:14" ht="49.5" customHeight="1" x14ac:dyDescent="0.25">
      <c r="A146" s="8">
        <f t="shared" si="2"/>
        <v>144</v>
      </c>
      <c r="B146" s="690"/>
      <c r="C146" s="691"/>
      <c r="D146" s="692"/>
      <c r="E146" s="893"/>
      <c r="F146" s="891"/>
      <c r="G146" s="892"/>
      <c r="H146" s="893"/>
      <c r="I146" s="891"/>
      <c r="J146" s="892"/>
      <c r="K146" s="693"/>
      <c r="L146" s="692"/>
      <c r="M146" s="689"/>
      <c r="N146" s="689"/>
    </row>
    <row r="147" spans="1:14" ht="49.5" customHeight="1" x14ac:dyDescent="0.25">
      <c r="A147" s="8">
        <f t="shared" si="2"/>
        <v>145</v>
      </c>
      <c r="B147" s="685"/>
      <c r="C147" s="686"/>
      <c r="D147" s="687"/>
      <c r="E147" s="890"/>
      <c r="F147" s="891"/>
      <c r="G147" s="892"/>
      <c r="H147" s="890"/>
      <c r="I147" s="891"/>
      <c r="J147" s="892"/>
      <c r="K147" s="688"/>
      <c r="L147" s="687"/>
      <c r="M147" s="689"/>
      <c r="N147" s="689"/>
    </row>
    <row r="148" spans="1:14" ht="49.5" customHeight="1" x14ac:dyDescent="0.25">
      <c r="A148" s="8">
        <f t="shared" si="2"/>
        <v>146</v>
      </c>
      <c r="B148" s="690"/>
      <c r="C148" s="691"/>
      <c r="D148" s="692"/>
      <c r="E148" s="893"/>
      <c r="F148" s="891"/>
      <c r="G148" s="892"/>
      <c r="H148" s="893"/>
      <c r="I148" s="891"/>
      <c r="J148" s="892"/>
      <c r="K148" s="693"/>
      <c r="L148" s="692"/>
      <c r="M148" s="689"/>
      <c r="N148" s="689"/>
    </row>
    <row r="149" spans="1:14" ht="49.5" customHeight="1" x14ac:dyDescent="0.25">
      <c r="A149" s="8">
        <f t="shared" si="2"/>
        <v>147</v>
      </c>
      <c r="B149" s="685"/>
      <c r="C149" s="686"/>
      <c r="D149" s="687"/>
      <c r="E149" s="890"/>
      <c r="F149" s="891"/>
      <c r="G149" s="892"/>
      <c r="H149" s="890"/>
      <c r="I149" s="891"/>
      <c r="J149" s="892"/>
      <c r="K149" s="688"/>
      <c r="L149" s="687"/>
      <c r="M149" s="689"/>
      <c r="N149" s="689"/>
    </row>
    <row r="150" spans="1:14" ht="49.5" customHeight="1" x14ac:dyDescent="0.25">
      <c r="A150" s="8">
        <f t="shared" si="2"/>
        <v>148</v>
      </c>
      <c r="B150" s="690"/>
      <c r="C150" s="691"/>
      <c r="D150" s="692"/>
      <c r="E150" s="893"/>
      <c r="F150" s="891"/>
      <c r="G150" s="892"/>
      <c r="H150" s="893"/>
      <c r="I150" s="891"/>
      <c r="J150" s="892"/>
      <c r="K150" s="693"/>
      <c r="L150" s="692"/>
      <c r="M150" s="689"/>
      <c r="N150" s="689"/>
    </row>
    <row r="151" spans="1:14" ht="49.5" customHeight="1" x14ac:dyDescent="0.25">
      <c r="A151" s="8">
        <f t="shared" si="2"/>
        <v>149</v>
      </c>
      <c r="B151" s="685"/>
      <c r="C151" s="686"/>
      <c r="D151" s="687"/>
      <c r="E151" s="890"/>
      <c r="F151" s="891"/>
      <c r="G151" s="892"/>
      <c r="H151" s="890"/>
      <c r="I151" s="891"/>
      <c r="J151" s="892"/>
      <c r="K151" s="688"/>
      <c r="L151" s="687"/>
      <c r="M151" s="689"/>
      <c r="N151" s="689"/>
    </row>
    <row r="152" spans="1:14" ht="49.5" customHeight="1" x14ac:dyDescent="0.25">
      <c r="A152" s="8">
        <f t="shared" si="2"/>
        <v>150</v>
      </c>
      <c r="B152" s="690"/>
      <c r="C152" s="691"/>
      <c r="D152" s="692"/>
      <c r="E152" s="893"/>
      <c r="F152" s="891"/>
      <c r="G152" s="892"/>
      <c r="H152" s="893"/>
      <c r="I152" s="891"/>
      <c r="J152" s="892"/>
      <c r="K152" s="693"/>
      <c r="L152" s="692"/>
      <c r="M152" s="689"/>
      <c r="N152" s="689"/>
    </row>
    <row r="153" spans="1:14" ht="49.5" customHeight="1" x14ac:dyDescent="0.25">
      <c r="A153" s="8">
        <f t="shared" si="2"/>
        <v>151</v>
      </c>
      <c r="B153" s="685"/>
      <c r="C153" s="686"/>
      <c r="D153" s="687"/>
      <c r="E153" s="890"/>
      <c r="F153" s="891"/>
      <c r="G153" s="892"/>
      <c r="H153" s="890"/>
      <c r="I153" s="891"/>
      <c r="J153" s="892"/>
      <c r="K153" s="688"/>
      <c r="L153" s="687"/>
      <c r="M153" s="689"/>
      <c r="N153" s="689"/>
    </row>
    <row r="154" spans="1:14" ht="49.5" customHeight="1" x14ac:dyDescent="0.25">
      <c r="A154" s="8">
        <f t="shared" si="2"/>
        <v>152</v>
      </c>
      <c r="B154" s="690"/>
      <c r="C154" s="691"/>
      <c r="D154" s="692"/>
      <c r="E154" s="893"/>
      <c r="F154" s="891"/>
      <c r="G154" s="892"/>
      <c r="H154" s="893"/>
      <c r="I154" s="891"/>
      <c r="J154" s="892"/>
      <c r="K154" s="693"/>
      <c r="L154" s="692"/>
      <c r="M154" s="689"/>
      <c r="N154" s="689"/>
    </row>
    <row r="155" spans="1:14" ht="49.5" customHeight="1" x14ac:dyDescent="0.25">
      <c r="A155" s="8">
        <f t="shared" si="2"/>
        <v>153</v>
      </c>
      <c r="B155" s="685"/>
      <c r="C155" s="686"/>
      <c r="D155" s="687"/>
      <c r="E155" s="890"/>
      <c r="F155" s="891"/>
      <c r="G155" s="892"/>
      <c r="H155" s="890"/>
      <c r="I155" s="891"/>
      <c r="J155" s="892"/>
      <c r="K155" s="688"/>
      <c r="L155" s="687"/>
      <c r="M155" s="689"/>
      <c r="N155" s="689"/>
    </row>
    <row r="156" spans="1:14" ht="49.5" customHeight="1" x14ac:dyDescent="0.25">
      <c r="A156" s="8">
        <f t="shared" si="2"/>
        <v>154</v>
      </c>
      <c r="B156" s="690"/>
      <c r="C156" s="691"/>
      <c r="D156" s="692"/>
      <c r="E156" s="893"/>
      <c r="F156" s="891"/>
      <c r="G156" s="892"/>
      <c r="H156" s="893"/>
      <c r="I156" s="891"/>
      <c r="J156" s="892"/>
      <c r="K156" s="693"/>
      <c r="L156" s="692"/>
      <c r="M156" s="689"/>
      <c r="N156" s="689"/>
    </row>
    <row r="157" spans="1:14" ht="49.5" customHeight="1" x14ac:dyDescent="0.25">
      <c r="A157" s="8">
        <f t="shared" si="2"/>
        <v>155</v>
      </c>
      <c r="B157" s="685"/>
      <c r="C157" s="686"/>
      <c r="D157" s="687"/>
      <c r="E157" s="890"/>
      <c r="F157" s="891"/>
      <c r="G157" s="892"/>
      <c r="H157" s="890"/>
      <c r="I157" s="891"/>
      <c r="J157" s="892"/>
      <c r="K157" s="688"/>
      <c r="L157" s="687"/>
      <c r="M157" s="689"/>
      <c r="N157" s="689"/>
    </row>
    <row r="158" spans="1:14" ht="49.5" customHeight="1" x14ac:dyDescent="0.25">
      <c r="A158" s="8">
        <f t="shared" si="2"/>
        <v>156</v>
      </c>
      <c r="B158" s="690"/>
      <c r="C158" s="691"/>
      <c r="D158" s="692"/>
      <c r="E158" s="893"/>
      <c r="F158" s="891"/>
      <c r="G158" s="892"/>
      <c r="H158" s="890"/>
      <c r="I158" s="891"/>
      <c r="J158" s="892"/>
      <c r="K158" s="693"/>
      <c r="L158" s="692"/>
      <c r="M158" s="689"/>
      <c r="N158" s="689"/>
    </row>
    <row r="159" spans="1:14" ht="49.5" customHeight="1" x14ac:dyDescent="0.25">
      <c r="A159" s="8">
        <f t="shared" si="2"/>
        <v>157</v>
      </c>
      <c r="B159" s="685"/>
      <c r="C159" s="686"/>
      <c r="D159" s="687"/>
      <c r="E159" s="890"/>
      <c r="F159" s="891"/>
      <c r="G159" s="892"/>
      <c r="H159" s="890"/>
      <c r="I159" s="891"/>
      <c r="J159" s="892"/>
      <c r="K159" s="688"/>
      <c r="L159" s="687"/>
      <c r="M159" s="689"/>
      <c r="N159" s="689"/>
    </row>
    <row r="160" spans="1:14" ht="49.5" customHeight="1" x14ac:dyDescent="0.25">
      <c r="A160" s="8">
        <f t="shared" si="2"/>
        <v>158</v>
      </c>
      <c r="B160" s="690"/>
      <c r="C160" s="691"/>
      <c r="D160" s="692"/>
      <c r="E160" s="890"/>
      <c r="F160" s="891"/>
      <c r="G160" s="892"/>
      <c r="H160" s="890"/>
      <c r="I160" s="891"/>
      <c r="J160" s="892"/>
      <c r="K160" s="693"/>
      <c r="L160" s="687"/>
      <c r="M160" s="689"/>
      <c r="N160" s="689"/>
    </row>
    <row r="161" spans="1:14" ht="49.5" customHeight="1" x14ac:dyDescent="0.25">
      <c r="A161" s="8">
        <f t="shared" si="2"/>
        <v>159</v>
      </c>
      <c r="B161" s="685"/>
      <c r="C161" s="686"/>
      <c r="D161" s="687"/>
      <c r="E161" s="890"/>
      <c r="F161" s="891"/>
      <c r="G161" s="892"/>
      <c r="H161" s="890"/>
      <c r="I161" s="891"/>
      <c r="J161" s="892"/>
      <c r="K161" s="688"/>
      <c r="L161" s="687"/>
      <c r="M161" s="689"/>
      <c r="N161" s="689"/>
    </row>
    <row r="162" spans="1:14" ht="49.5" customHeight="1" x14ac:dyDescent="0.25">
      <c r="A162" s="8">
        <f t="shared" si="2"/>
        <v>160</v>
      </c>
      <c r="B162" s="690"/>
      <c r="C162" s="691"/>
      <c r="D162" s="692"/>
      <c r="E162" s="893"/>
      <c r="F162" s="891"/>
      <c r="G162" s="892"/>
      <c r="H162" s="893"/>
      <c r="I162" s="891"/>
      <c r="J162" s="892"/>
      <c r="K162" s="693"/>
      <c r="L162" s="692"/>
      <c r="M162" s="689"/>
      <c r="N162" s="689"/>
    </row>
    <row r="163" spans="1:14" ht="49.5" customHeight="1" x14ac:dyDescent="0.25">
      <c r="A163" s="8">
        <f t="shared" si="2"/>
        <v>161</v>
      </c>
      <c r="B163" s="685"/>
      <c r="C163" s="686"/>
      <c r="D163" s="687"/>
      <c r="E163" s="890"/>
      <c r="F163" s="891"/>
      <c r="G163" s="892"/>
      <c r="H163" s="890"/>
      <c r="I163" s="891"/>
      <c r="J163" s="892"/>
      <c r="K163" s="688"/>
      <c r="L163" s="687"/>
      <c r="M163" s="689"/>
      <c r="N163" s="689"/>
    </row>
    <row r="164" spans="1:14" ht="49.5" customHeight="1" x14ac:dyDescent="0.25">
      <c r="A164" s="8">
        <f t="shared" si="2"/>
        <v>162</v>
      </c>
      <c r="B164" s="690"/>
      <c r="C164" s="691"/>
      <c r="D164" s="692"/>
      <c r="E164" s="893"/>
      <c r="F164" s="891"/>
      <c r="G164" s="892"/>
      <c r="H164" s="893"/>
      <c r="I164" s="891"/>
      <c r="J164" s="892"/>
      <c r="K164" s="693"/>
      <c r="L164" s="692"/>
      <c r="M164" s="689"/>
      <c r="N164" s="689"/>
    </row>
    <row r="165" spans="1:14" ht="49.5" customHeight="1" x14ac:dyDescent="0.25">
      <c r="A165" s="8">
        <f t="shared" si="2"/>
        <v>163</v>
      </c>
      <c r="B165" s="685"/>
      <c r="C165" s="686"/>
      <c r="D165" s="687"/>
      <c r="E165" s="890"/>
      <c r="F165" s="891"/>
      <c r="G165" s="892"/>
      <c r="H165" s="890"/>
      <c r="I165" s="891"/>
      <c r="J165" s="892"/>
      <c r="K165" s="688"/>
      <c r="L165" s="687"/>
      <c r="M165" s="689"/>
      <c r="N165" s="689"/>
    </row>
    <row r="166" spans="1:14" ht="49.5" customHeight="1" x14ac:dyDescent="0.25">
      <c r="A166" s="8">
        <f t="shared" si="2"/>
        <v>164</v>
      </c>
      <c r="B166" s="690"/>
      <c r="C166" s="691"/>
      <c r="D166" s="692"/>
      <c r="E166" s="893"/>
      <c r="F166" s="891"/>
      <c r="G166" s="892"/>
      <c r="H166" s="893"/>
      <c r="I166" s="891"/>
      <c r="J166" s="892"/>
      <c r="K166" s="693"/>
      <c r="L166" s="692"/>
      <c r="M166" s="689"/>
      <c r="N166" s="689"/>
    </row>
    <row r="167" spans="1:14" ht="49.5" customHeight="1" x14ac:dyDescent="0.25">
      <c r="A167" s="8">
        <f t="shared" si="2"/>
        <v>165</v>
      </c>
      <c r="B167" s="685"/>
      <c r="C167" s="686"/>
      <c r="D167" s="687"/>
      <c r="E167" s="890"/>
      <c r="F167" s="891"/>
      <c r="G167" s="892"/>
      <c r="H167" s="890"/>
      <c r="I167" s="891"/>
      <c r="J167" s="892"/>
      <c r="K167" s="688"/>
      <c r="L167" s="687"/>
      <c r="M167" s="689"/>
      <c r="N167" s="689"/>
    </row>
    <row r="168" spans="1:14" ht="49.5" customHeight="1" x14ac:dyDescent="0.25">
      <c r="A168" s="8">
        <f t="shared" si="2"/>
        <v>166</v>
      </c>
      <c r="B168" s="690"/>
      <c r="C168" s="691"/>
      <c r="D168" s="692"/>
      <c r="E168" s="893"/>
      <c r="F168" s="891"/>
      <c r="G168" s="892"/>
      <c r="H168" s="893"/>
      <c r="I168" s="891"/>
      <c r="J168" s="892"/>
      <c r="K168" s="693"/>
      <c r="L168" s="692"/>
      <c r="M168" s="689"/>
      <c r="N168" s="689"/>
    </row>
    <row r="169" spans="1:14" ht="49.5" customHeight="1" x14ac:dyDescent="0.25">
      <c r="A169" s="8">
        <f t="shared" si="2"/>
        <v>167</v>
      </c>
      <c r="B169" s="685"/>
      <c r="C169" s="686"/>
      <c r="D169" s="687"/>
      <c r="E169" s="890"/>
      <c r="F169" s="891"/>
      <c r="G169" s="892"/>
      <c r="H169" s="890"/>
      <c r="I169" s="891"/>
      <c r="J169" s="892"/>
      <c r="K169" s="688"/>
      <c r="L169" s="687"/>
      <c r="M169" s="689"/>
      <c r="N169" s="689"/>
    </row>
    <row r="170" spans="1:14" ht="49.5" customHeight="1" x14ac:dyDescent="0.25">
      <c r="A170" s="8">
        <f t="shared" si="2"/>
        <v>168</v>
      </c>
      <c r="B170" s="690"/>
      <c r="C170" s="691"/>
      <c r="D170" s="692"/>
      <c r="E170" s="893"/>
      <c r="F170" s="891"/>
      <c r="G170" s="892"/>
      <c r="H170" s="893"/>
      <c r="I170" s="891"/>
      <c r="J170" s="892"/>
      <c r="K170" s="693"/>
      <c r="L170" s="692"/>
      <c r="M170" s="689"/>
      <c r="N170" s="689"/>
    </row>
    <row r="171" spans="1:14" ht="49.5" customHeight="1" x14ac:dyDescent="0.25">
      <c r="A171" s="8">
        <f t="shared" si="2"/>
        <v>169</v>
      </c>
      <c r="B171" s="685"/>
      <c r="C171" s="686"/>
      <c r="D171" s="687"/>
      <c r="E171" s="890"/>
      <c r="F171" s="891"/>
      <c r="G171" s="892"/>
      <c r="H171" s="890"/>
      <c r="I171" s="891"/>
      <c r="J171" s="892"/>
      <c r="K171" s="688"/>
      <c r="L171" s="687"/>
      <c r="M171" s="689"/>
      <c r="N171" s="689"/>
    </row>
    <row r="172" spans="1:14" ht="49.5" customHeight="1" x14ac:dyDescent="0.25">
      <c r="A172" s="8">
        <f t="shared" si="2"/>
        <v>170</v>
      </c>
      <c r="B172" s="690"/>
      <c r="C172" s="691"/>
      <c r="D172" s="692"/>
      <c r="E172" s="890"/>
      <c r="F172" s="891"/>
      <c r="G172" s="892"/>
      <c r="H172" s="893"/>
      <c r="I172" s="891"/>
      <c r="J172" s="892"/>
      <c r="K172" s="693"/>
      <c r="L172" s="692"/>
      <c r="M172" s="689"/>
      <c r="N172" s="689"/>
    </row>
    <row r="173" spans="1:14" ht="49.5" customHeight="1" x14ac:dyDescent="0.25">
      <c r="A173" s="8">
        <f t="shared" si="2"/>
        <v>171</v>
      </c>
      <c r="B173" s="685"/>
      <c r="C173" s="686"/>
      <c r="D173" s="687"/>
      <c r="E173" s="890"/>
      <c r="F173" s="891"/>
      <c r="G173" s="892"/>
      <c r="H173" s="890"/>
      <c r="I173" s="891"/>
      <c r="J173" s="892"/>
      <c r="K173" s="688"/>
      <c r="L173" s="687"/>
      <c r="M173" s="689"/>
      <c r="N173" s="689"/>
    </row>
    <row r="174" spans="1:14" ht="49.5" customHeight="1" x14ac:dyDescent="0.25">
      <c r="A174" s="8">
        <f t="shared" si="2"/>
        <v>172</v>
      </c>
      <c r="B174" s="690"/>
      <c r="C174" s="691"/>
      <c r="D174" s="692"/>
      <c r="E174" s="893"/>
      <c r="F174" s="891"/>
      <c r="G174" s="892"/>
      <c r="H174" s="890"/>
      <c r="I174" s="891"/>
      <c r="J174" s="892"/>
      <c r="K174" s="693"/>
      <c r="L174" s="687"/>
      <c r="M174" s="689"/>
      <c r="N174" s="689"/>
    </row>
    <row r="175" spans="1:14" ht="49.5" customHeight="1" x14ac:dyDescent="0.25">
      <c r="A175" s="8">
        <f t="shared" si="2"/>
        <v>173</v>
      </c>
      <c r="B175" s="685"/>
      <c r="C175" s="686"/>
      <c r="D175" s="687"/>
      <c r="E175" s="893"/>
      <c r="F175" s="891"/>
      <c r="G175" s="892"/>
      <c r="H175" s="890"/>
      <c r="I175" s="891"/>
      <c r="J175" s="892"/>
      <c r="K175" s="688"/>
      <c r="L175" s="687"/>
      <c r="M175" s="689"/>
      <c r="N175" s="689"/>
    </row>
    <row r="176" spans="1:14" ht="49.5" customHeight="1" x14ac:dyDescent="0.25">
      <c r="A176" s="8">
        <f t="shared" si="2"/>
        <v>174</v>
      </c>
      <c r="B176" s="690"/>
      <c r="C176" s="686"/>
      <c r="D176" s="687"/>
      <c r="E176" s="893"/>
      <c r="F176" s="891"/>
      <c r="G176" s="892"/>
      <c r="H176" s="890"/>
      <c r="I176" s="891"/>
      <c r="J176" s="892"/>
      <c r="K176" s="693"/>
      <c r="L176" s="687"/>
      <c r="M176" s="689"/>
      <c r="N176" s="689"/>
    </row>
    <row r="177" spans="1:14" ht="49.5" customHeight="1" x14ac:dyDescent="0.25">
      <c r="A177" s="8">
        <f t="shared" si="2"/>
        <v>175</v>
      </c>
      <c r="B177" s="685"/>
      <c r="C177" s="686"/>
      <c r="D177" s="687"/>
      <c r="E177" s="890"/>
      <c r="F177" s="891"/>
      <c r="G177" s="892"/>
      <c r="H177" s="890"/>
      <c r="I177" s="891"/>
      <c r="J177" s="892"/>
      <c r="K177" s="688"/>
      <c r="L177" s="687"/>
      <c r="M177" s="689"/>
      <c r="N177" s="689"/>
    </row>
    <row r="178" spans="1:14" ht="49.5" customHeight="1" x14ac:dyDescent="0.25">
      <c r="A178" s="8">
        <f t="shared" si="2"/>
        <v>176</v>
      </c>
      <c r="B178" s="690"/>
      <c r="C178" s="691"/>
      <c r="D178" s="692"/>
      <c r="E178" s="893"/>
      <c r="F178" s="891"/>
      <c r="G178" s="892"/>
      <c r="H178" s="893"/>
      <c r="I178" s="891"/>
      <c r="J178" s="892"/>
      <c r="K178" s="693"/>
      <c r="L178" s="692"/>
      <c r="M178" s="689"/>
      <c r="N178" s="689"/>
    </row>
    <row r="179" spans="1:14" ht="49.5" customHeight="1" x14ac:dyDescent="0.25">
      <c r="A179" s="8">
        <f t="shared" si="2"/>
        <v>177</v>
      </c>
      <c r="B179" s="685"/>
      <c r="C179" s="686"/>
      <c r="D179" s="687"/>
      <c r="E179" s="890"/>
      <c r="F179" s="891"/>
      <c r="G179" s="892"/>
      <c r="H179" s="890"/>
      <c r="I179" s="891"/>
      <c r="J179" s="892"/>
      <c r="K179" s="688"/>
      <c r="L179" s="687"/>
      <c r="M179" s="689"/>
      <c r="N179" s="689"/>
    </row>
    <row r="180" spans="1:14" ht="49.5" customHeight="1" x14ac:dyDescent="0.25">
      <c r="A180" s="8">
        <f t="shared" si="2"/>
        <v>178</v>
      </c>
      <c r="B180" s="690"/>
      <c r="C180" s="691"/>
      <c r="D180" s="692"/>
      <c r="E180" s="893"/>
      <c r="F180" s="891"/>
      <c r="G180" s="892"/>
      <c r="H180" s="893"/>
      <c r="I180" s="891"/>
      <c r="J180" s="892"/>
      <c r="K180" s="693"/>
      <c r="L180" s="692"/>
      <c r="M180" s="689"/>
      <c r="N180" s="689"/>
    </row>
    <row r="181" spans="1:14" ht="49.5" customHeight="1" x14ac:dyDescent="0.25">
      <c r="A181" s="8">
        <f t="shared" si="2"/>
        <v>179</v>
      </c>
      <c r="B181" s="685"/>
      <c r="C181" s="686"/>
      <c r="D181" s="687"/>
      <c r="E181" s="890"/>
      <c r="F181" s="891"/>
      <c r="G181" s="892"/>
      <c r="H181" s="890"/>
      <c r="I181" s="891"/>
      <c r="J181" s="892"/>
      <c r="K181" s="688"/>
      <c r="L181" s="692"/>
      <c r="M181" s="689"/>
      <c r="N181" s="689"/>
    </row>
    <row r="182" spans="1:14" ht="49.5" customHeight="1" x14ac:dyDescent="0.25">
      <c r="A182" s="8">
        <f t="shared" si="2"/>
        <v>180</v>
      </c>
      <c r="B182" s="690"/>
      <c r="C182" s="691"/>
      <c r="D182" s="692"/>
      <c r="E182" s="893"/>
      <c r="F182" s="891"/>
      <c r="G182" s="892"/>
      <c r="H182" s="893"/>
      <c r="I182" s="891"/>
      <c r="J182" s="892"/>
      <c r="K182" s="693"/>
      <c r="L182" s="692"/>
      <c r="M182" s="689"/>
      <c r="N182" s="689"/>
    </row>
    <row r="183" spans="1:14" ht="49.5" customHeight="1" x14ac:dyDescent="0.25">
      <c r="A183" s="8">
        <f t="shared" si="2"/>
        <v>181</v>
      </c>
      <c r="B183" s="685"/>
      <c r="C183" s="686"/>
      <c r="D183" s="687"/>
      <c r="E183" s="890"/>
      <c r="F183" s="891"/>
      <c r="G183" s="892"/>
      <c r="H183" s="890"/>
      <c r="I183" s="891"/>
      <c r="J183" s="892"/>
      <c r="K183" s="688"/>
      <c r="L183" s="687"/>
      <c r="M183" s="689"/>
      <c r="N183" s="689"/>
    </row>
    <row r="184" spans="1:14" ht="49.5" customHeight="1" x14ac:dyDescent="0.25">
      <c r="A184" s="8">
        <f t="shared" si="2"/>
        <v>182</v>
      </c>
      <c r="B184" s="690"/>
      <c r="C184" s="691"/>
      <c r="D184" s="692"/>
      <c r="E184" s="893"/>
      <c r="F184" s="891"/>
      <c r="G184" s="892"/>
      <c r="H184" s="893"/>
      <c r="I184" s="891"/>
      <c r="J184" s="892"/>
      <c r="K184" s="693"/>
      <c r="L184" s="692"/>
      <c r="M184" s="689"/>
      <c r="N184" s="689"/>
    </row>
    <row r="185" spans="1:14" ht="49.5" customHeight="1" x14ac:dyDescent="0.25">
      <c r="A185" s="8">
        <f t="shared" si="2"/>
        <v>183</v>
      </c>
      <c r="B185" s="685"/>
      <c r="C185" s="686"/>
      <c r="D185" s="687"/>
      <c r="E185" s="890"/>
      <c r="F185" s="891"/>
      <c r="G185" s="892"/>
      <c r="H185" s="890"/>
      <c r="I185" s="891"/>
      <c r="J185" s="892"/>
      <c r="K185" s="688"/>
      <c r="L185" s="687"/>
      <c r="M185" s="689"/>
      <c r="N185" s="689"/>
    </row>
    <row r="186" spans="1:14" ht="49.5" customHeight="1" x14ac:dyDescent="0.25">
      <c r="A186" s="8">
        <f t="shared" si="2"/>
        <v>184</v>
      </c>
      <c r="B186" s="690"/>
      <c r="C186" s="691"/>
      <c r="D186" s="692"/>
      <c r="E186" s="893"/>
      <c r="F186" s="891"/>
      <c r="G186" s="892"/>
      <c r="H186" s="893"/>
      <c r="I186" s="891"/>
      <c r="J186" s="892"/>
      <c r="K186" s="693"/>
      <c r="L186" s="692"/>
      <c r="M186" s="689"/>
      <c r="N186" s="689"/>
    </row>
    <row r="187" spans="1:14" ht="49.5" customHeight="1" x14ac:dyDescent="0.25">
      <c r="A187" s="8">
        <f t="shared" si="2"/>
        <v>185</v>
      </c>
      <c r="B187" s="685"/>
      <c r="C187" s="686"/>
      <c r="D187" s="687"/>
      <c r="E187" s="890"/>
      <c r="F187" s="891"/>
      <c r="G187" s="892"/>
      <c r="H187" s="890"/>
      <c r="I187" s="891"/>
      <c r="J187" s="892"/>
      <c r="K187" s="688"/>
      <c r="L187" s="687"/>
      <c r="M187" s="689"/>
      <c r="N187" s="689"/>
    </row>
    <row r="188" spans="1:14" ht="49.5" customHeight="1" x14ac:dyDescent="0.25">
      <c r="A188" s="8">
        <f t="shared" si="2"/>
        <v>186</v>
      </c>
      <c r="B188" s="690"/>
      <c r="C188" s="691"/>
      <c r="D188" s="692"/>
      <c r="E188" s="893"/>
      <c r="F188" s="891"/>
      <c r="G188" s="892"/>
      <c r="H188" s="893"/>
      <c r="I188" s="891"/>
      <c r="J188" s="892"/>
      <c r="K188" s="693"/>
      <c r="L188" s="692"/>
      <c r="M188" s="689"/>
      <c r="N188" s="689"/>
    </row>
    <row r="189" spans="1:14" ht="49.5" customHeight="1" x14ac:dyDescent="0.25">
      <c r="A189" s="8">
        <f t="shared" si="2"/>
        <v>187</v>
      </c>
      <c r="B189" s="685"/>
      <c r="C189" s="686"/>
      <c r="D189" s="687"/>
      <c r="E189" s="890"/>
      <c r="F189" s="891"/>
      <c r="G189" s="892"/>
      <c r="H189" s="890"/>
      <c r="I189" s="891"/>
      <c r="J189" s="892"/>
      <c r="K189" s="688"/>
      <c r="L189" s="687"/>
      <c r="M189" s="689"/>
      <c r="N189" s="689"/>
    </row>
    <row r="190" spans="1:14" ht="49.5" customHeight="1" x14ac:dyDescent="0.25">
      <c r="A190" s="8">
        <f t="shared" si="2"/>
        <v>188</v>
      </c>
      <c r="B190" s="690"/>
      <c r="C190" s="691"/>
      <c r="D190" s="692"/>
      <c r="E190" s="893"/>
      <c r="F190" s="891"/>
      <c r="G190" s="892"/>
      <c r="H190" s="893"/>
      <c r="I190" s="891"/>
      <c r="J190" s="892"/>
      <c r="K190" s="693"/>
      <c r="L190" s="692"/>
      <c r="M190" s="689"/>
      <c r="N190" s="689"/>
    </row>
    <row r="191" spans="1:14" ht="49.5" customHeight="1" x14ac:dyDescent="0.25">
      <c r="A191" s="8">
        <f t="shared" si="2"/>
        <v>189</v>
      </c>
      <c r="B191" s="685"/>
      <c r="C191" s="686"/>
      <c r="D191" s="687"/>
      <c r="E191" s="890"/>
      <c r="F191" s="891"/>
      <c r="G191" s="892"/>
      <c r="H191" s="890"/>
      <c r="I191" s="891"/>
      <c r="J191" s="892"/>
      <c r="K191" s="688"/>
      <c r="L191" s="687"/>
      <c r="M191" s="689"/>
      <c r="N191" s="689"/>
    </row>
    <row r="192" spans="1:14" ht="49.5" customHeight="1" x14ac:dyDescent="0.25">
      <c r="A192" s="8">
        <f t="shared" si="2"/>
        <v>190</v>
      </c>
      <c r="B192" s="690"/>
      <c r="C192" s="691"/>
      <c r="D192" s="692"/>
      <c r="E192" s="890"/>
      <c r="F192" s="891"/>
      <c r="G192" s="892"/>
      <c r="H192" s="890"/>
      <c r="I192" s="891"/>
      <c r="J192" s="892"/>
      <c r="K192" s="693"/>
      <c r="L192" s="687"/>
      <c r="M192" s="689"/>
      <c r="N192" s="689"/>
    </row>
    <row r="193" spans="1:14" ht="49.5" customHeight="1" x14ac:dyDescent="0.25">
      <c r="A193" s="8">
        <f t="shared" si="2"/>
        <v>191</v>
      </c>
      <c r="B193" s="685"/>
      <c r="C193" s="686"/>
      <c r="D193" s="687"/>
      <c r="E193" s="890"/>
      <c r="F193" s="891"/>
      <c r="G193" s="892"/>
      <c r="H193" s="890"/>
      <c r="I193" s="891"/>
      <c r="J193" s="892"/>
      <c r="K193" s="688"/>
      <c r="L193" s="687"/>
      <c r="M193" s="689"/>
      <c r="N193" s="689"/>
    </row>
    <row r="194" spans="1:14" ht="49.5" customHeight="1" x14ac:dyDescent="0.25">
      <c r="A194" s="8">
        <f t="shared" si="2"/>
        <v>192</v>
      </c>
      <c r="B194" s="690"/>
      <c r="C194" s="691"/>
      <c r="D194" s="692"/>
      <c r="E194" s="893"/>
      <c r="F194" s="891"/>
      <c r="G194" s="892"/>
      <c r="H194" s="893"/>
      <c r="I194" s="891"/>
      <c r="J194" s="892"/>
      <c r="K194" s="693"/>
      <c r="L194" s="692"/>
      <c r="M194" s="689"/>
      <c r="N194" s="689"/>
    </row>
    <row r="195" spans="1:14" ht="49.5" customHeight="1" x14ac:dyDescent="0.25">
      <c r="A195" s="8">
        <f t="shared" si="2"/>
        <v>193</v>
      </c>
      <c r="B195" s="685"/>
      <c r="C195" s="686"/>
      <c r="D195" s="687"/>
      <c r="E195" s="890"/>
      <c r="F195" s="891"/>
      <c r="G195" s="892"/>
      <c r="H195" s="890"/>
      <c r="I195" s="891"/>
      <c r="J195" s="892"/>
      <c r="K195" s="688"/>
      <c r="L195" s="687"/>
      <c r="M195" s="689"/>
      <c r="N195" s="689"/>
    </row>
    <row r="196" spans="1:14" ht="49.5" customHeight="1" x14ac:dyDescent="0.25">
      <c r="A196" s="8">
        <f t="shared" ref="A196:A214" si="3">ROW(A194)</f>
        <v>194</v>
      </c>
      <c r="B196" s="690"/>
      <c r="C196" s="691"/>
      <c r="D196" s="692"/>
      <c r="E196" s="893"/>
      <c r="F196" s="891"/>
      <c r="G196" s="892"/>
      <c r="H196" s="893"/>
      <c r="I196" s="891"/>
      <c r="J196" s="892"/>
      <c r="K196" s="693"/>
      <c r="L196" s="692"/>
      <c r="M196" s="689"/>
      <c r="N196" s="689"/>
    </row>
    <row r="197" spans="1:14" ht="49.5" customHeight="1" x14ac:dyDescent="0.25">
      <c r="A197" s="8">
        <f t="shared" si="3"/>
        <v>195</v>
      </c>
      <c r="B197" s="685"/>
      <c r="C197" s="686"/>
      <c r="D197" s="687"/>
      <c r="E197" s="890"/>
      <c r="F197" s="891"/>
      <c r="G197" s="892"/>
      <c r="H197" s="890"/>
      <c r="I197" s="891"/>
      <c r="J197" s="892"/>
      <c r="K197" s="688"/>
      <c r="L197" s="687"/>
      <c r="M197" s="689"/>
      <c r="N197" s="689"/>
    </row>
    <row r="198" spans="1:14" ht="49.5" customHeight="1" x14ac:dyDescent="0.25">
      <c r="A198" s="8">
        <f t="shared" si="3"/>
        <v>196</v>
      </c>
      <c r="B198" s="690"/>
      <c r="C198" s="691"/>
      <c r="D198" s="692"/>
      <c r="E198" s="893"/>
      <c r="F198" s="891"/>
      <c r="G198" s="892"/>
      <c r="H198" s="893"/>
      <c r="I198" s="891"/>
      <c r="J198" s="892"/>
      <c r="K198" s="693"/>
      <c r="L198" s="692"/>
      <c r="M198" s="689"/>
      <c r="N198" s="689"/>
    </row>
    <row r="199" spans="1:14" ht="49.5" customHeight="1" x14ac:dyDescent="0.25">
      <c r="A199" s="8">
        <f t="shared" si="3"/>
        <v>197</v>
      </c>
      <c r="B199" s="685"/>
      <c r="C199" s="686"/>
      <c r="D199" s="687"/>
      <c r="E199" s="890"/>
      <c r="F199" s="891"/>
      <c r="G199" s="892"/>
      <c r="H199" s="890"/>
      <c r="I199" s="891"/>
      <c r="J199" s="892"/>
      <c r="K199" s="688"/>
      <c r="L199" s="687"/>
      <c r="M199" s="689"/>
      <c r="N199" s="689"/>
    </row>
    <row r="200" spans="1:14" ht="49.5" customHeight="1" x14ac:dyDescent="0.25">
      <c r="A200" s="8">
        <f t="shared" si="3"/>
        <v>198</v>
      </c>
      <c r="B200" s="685"/>
      <c r="C200" s="686"/>
      <c r="D200" s="687"/>
      <c r="E200" s="894"/>
      <c r="F200" s="895"/>
      <c r="G200" s="896"/>
      <c r="H200" s="894"/>
      <c r="I200" s="895"/>
      <c r="J200" s="896"/>
      <c r="K200" s="688"/>
      <c r="L200" s="687"/>
      <c r="M200" s="689"/>
      <c r="N200" s="689"/>
    </row>
    <row r="201" spans="1:14" ht="49.5" customHeight="1" x14ac:dyDescent="0.25">
      <c r="A201" s="8">
        <f t="shared" si="3"/>
        <v>199</v>
      </c>
      <c r="B201" s="690"/>
      <c r="C201" s="691"/>
      <c r="D201" s="692"/>
      <c r="E201" s="903"/>
      <c r="F201" s="904"/>
      <c r="G201" s="905"/>
      <c r="H201" s="903"/>
      <c r="I201" s="904"/>
      <c r="J201" s="905"/>
      <c r="K201" s="693"/>
      <c r="L201" s="692"/>
      <c r="M201" s="689"/>
      <c r="N201" s="689"/>
    </row>
    <row r="202" spans="1:14" ht="49.5" customHeight="1" x14ac:dyDescent="0.25">
      <c r="A202" s="8">
        <f t="shared" si="3"/>
        <v>200</v>
      </c>
      <c r="B202" s="685"/>
      <c r="C202" s="686"/>
      <c r="D202" s="687"/>
      <c r="E202" s="894"/>
      <c r="F202" s="895"/>
      <c r="G202" s="896"/>
      <c r="H202" s="894"/>
      <c r="I202" s="895"/>
      <c r="J202" s="896"/>
      <c r="K202" s="688"/>
      <c r="L202" s="687"/>
      <c r="M202" s="689"/>
      <c r="N202" s="689"/>
    </row>
    <row r="203" spans="1:14" ht="49.5" customHeight="1" x14ac:dyDescent="0.25">
      <c r="A203" s="8">
        <f t="shared" si="3"/>
        <v>201</v>
      </c>
      <c r="B203" s="690"/>
      <c r="C203" s="691"/>
      <c r="D203" s="692"/>
      <c r="E203" s="903"/>
      <c r="F203" s="904"/>
      <c r="G203" s="905"/>
      <c r="H203" s="903"/>
      <c r="I203" s="904"/>
      <c r="J203" s="905"/>
      <c r="K203" s="693"/>
      <c r="L203" s="692"/>
      <c r="M203" s="689"/>
      <c r="N203" s="689"/>
    </row>
    <row r="204" spans="1:14" ht="49.5" customHeight="1" x14ac:dyDescent="0.25">
      <c r="A204" s="8">
        <f t="shared" si="3"/>
        <v>202</v>
      </c>
      <c r="B204" s="685"/>
      <c r="C204" s="686"/>
      <c r="D204" s="687"/>
      <c r="E204" s="890"/>
      <c r="F204" s="891"/>
      <c r="G204" s="892"/>
      <c r="H204" s="890"/>
      <c r="I204" s="891"/>
      <c r="J204" s="892"/>
      <c r="K204" s="688"/>
      <c r="L204" s="687"/>
      <c r="M204" s="689"/>
      <c r="N204" s="689"/>
    </row>
    <row r="205" spans="1:14" ht="49.5" customHeight="1" x14ac:dyDescent="0.25">
      <c r="A205" s="8">
        <f t="shared" si="3"/>
        <v>203</v>
      </c>
      <c r="B205" s="690"/>
      <c r="C205" s="691"/>
      <c r="D205" s="692"/>
      <c r="E205" s="893"/>
      <c r="F205" s="891"/>
      <c r="G205" s="892"/>
      <c r="H205" s="893"/>
      <c r="I205" s="891"/>
      <c r="J205" s="892"/>
      <c r="K205" s="693"/>
      <c r="L205" s="692"/>
      <c r="M205" s="689"/>
      <c r="N205" s="689"/>
    </row>
    <row r="206" spans="1:14" ht="49.5" customHeight="1" x14ac:dyDescent="0.25">
      <c r="A206" s="8">
        <f t="shared" si="3"/>
        <v>204</v>
      </c>
      <c r="B206" s="685"/>
      <c r="C206" s="686"/>
      <c r="D206" s="687"/>
      <c r="E206" s="890"/>
      <c r="F206" s="891"/>
      <c r="G206" s="892"/>
      <c r="H206" s="890"/>
      <c r="I206" s="891"/>
      <c r="J206" s="892"/>
      <c r="K206" s="688"/>
      <c r="L206" s="687"/>
      <c r="M206" s="689"/>
      <c r="N206" s="689"/>
    </row>
    <row r="207" spans="1:14" ht="49.5" customHeight="1" x14ac:dyDescent="0.25">
      <c r="A207" s="8">
        <f t="shared" si="3"/>
        <v>205</v>
      </c>
      <c r="B207" s="690"/>
      <c r="C207" s="691"/>
      <c r="D207" s="692"/>
      <c r="E207" s="893"/>
      <c r="F207" s="891"/>
      <c r="G207" s="892"/>
      <c r="H207" s="893"/>
      <c r="I207" s="891"/>
      <c r="J207" s="892"/>
      <c r="K207" s="693"/>
      <c r="L207" s="692"/>
      <c r="M207" s="689"/>
      <c r="N207" s="689"/>
    </row>
    <row r="208" spans="1:14" ht="49.5" customHeight="1" x14ac:dyDescent="0.25">
      <c r="A208" s="8">
        <f t="shared" si="3"/>
        <v>206</v>
      </c>
      <c r="B208" s="685"/>
      <c r="C208" s="686"/>
      <c r="D208" s="687"/>
      <c r="E208" s="890"/>
      <c r="F208" s="891"/>
      <c r="G208" s="892"/>
      <c r="H208" s="890"/>
      <c r="I208" s="891"/>
      <c r="J208" s="892"/>
      <c r="K208" s="688"/>
      <c r="L208" s="687"/>
      <c r="M208" s="689"/>
      <c r="N208" s="689"/>
    </row>
    <row r="209" spans="1:14" ht="49.5" customHeight="1" x14ac:dyDescent="0.25">
      <c r="A209" s="8">
        <f t="shared" si="3"/>
        <v>207</v>
      </c>
      <c r="B209" s="690"/>
      <c r="C209" s="691"/>
      <c r="D209" s="692"/>
      <c r="E209" s="893"/>
      <c r="F209" s="891"/>
      <c r="G209" s="892"/>
      <c r="H209" s="893"/>
      <c r="I209" s="891"/>
      <c r="J209" s="892"/>
      <c r="K209" s="693"/>
      <c r="L209" s="692"/>
      <c r="M209" s="689"/>
      <c r="N209" s="689"/>
    </row>
    <row r="210" spans="1:14" ht="49.5" customHeight="1" x14ac:dyDescent="0.25">
      <c r="A210" s="8">
        <f t="shared" si="3"/>
        <v>208</v>
      </c>
      <c r="B210" s="685"/>
      <c r="C210" s="686"/>
      <c r="D210" s="687"/>
      <c r="E210" s="890"/>
      <c r="F210" s="891"/>
      <c r="G210" s="892"/>
      <c r="H210" s="890"/>
      <c r="I210" s="891"/>
      <c r="J210" s="892"/>
      <c r="K210" s="688"/>
      <c r="L210" s="687"/>
      <c r="M210" s="689"/>
      <c r="N210" s="689"/>
    </row>
    <row r="211" spans="1:14" ht="49.5" customHeight="1" x14ac:dyDescent="0.25">
      <c r="A211" s="8">
        <f t="shared" si="3"/>
        <v>209</v>
      </c>
      <c r="B211" s="690"/>
      <c r="C211" s="691"/>
      <c r="D211" s="692"/>
      <c r="E211" s="893"/>
      <c r="F211" s="891"/>
      <c r="G211" s="892"/>
      <c r="H211" s="893"/>
      <c r="I211" s="891"/>
      <c r="J211" s="892"/>
      <c r="K211" s="693"/>
      <c r="L211" s="893"/>
      <c r="M211" s="891"/>
      <c r="N211" s="892"/>
    </row>
    <row r="212" spans="1:14" ht="49.5" customHeight="1" x14ac:dyDescent="0.25">
      <c r="A212" s="8">
        <f t="shared" si="3"/>
        <v>210</v>
      </c>
      <c r="B212" s="685"/>
      <c r="C212" s="686"/>
      <c r="D212" s="687"/>
      <c r="E212" s="890"/>
      <c r="F212" s="891"/>
      <c r="G212" s="892"/>
      <c r="H212" s="893"/>
      <c r="I212" s="891"/>
      <c r="J212" s="892"/>
      <c r="K212" s="688"/>
      <c r="L212" s="893"/>
      <c r="M212" s="891"/>
      <c r="N212" s="892"/>
    </row>
    <row r="213" spans="1:14" ht="49.5" customHeight="1" x14ac:dyDescent="0.25">
      <c r="A213" s="8">
        <f t="shared" si="3"/>
        <v>211</v>
      </c>
      <c r="B213" s="690"/>
      <c r="C213" s="691"/>
      <c r="D213" s="692"/>
      <c r="E213" s="893"/>
      <c r="F213" s="891"/>
      <c r="G213" s="892"/>
      <c r="H213" s="893"/>
      <c r="I213" s="891"/>
      <c r="J213" s="892"/>
      <c r="K213" s="693"/>
      <c r="L213" s="692"/>
      <c r="M213" s="689"/>
      <c r="N213" s="689"/>
    </row>
    <row r="214" spans="1:14" ht="49.5" customHeight="1" x14ac:dyDescent="0.25">
      <c r="A214" s="8">
        <f t="shared" si="3"/>
        <v>212</v>
      </c>
      <c r="B214" s="685"/>
      <c r="C214" s="686"/>
      <c r="D214" s="687"/>
      <c r="E214" s="890"/>
      <c r="F214" s="891"/>
      <c r="G214" s="892"/>
      <c r="H214" s="890"/>
      <c r="I214" s="891"/>
      <c r="J214" s="892"/>
      <c r="K214" s="688"/>
      <c r="L214" s="687"/>
      <c r="M214" s="689"/>
      <c r="N214" s="689"/>
    </row>
    <row r="215" spans="1:14" ht="49.5" customHeight="1" x14ac:dyDescent="0.25">
      <c r="A215" s="8">
        <f t="shared" ref="A215:A218" si="4">ROW(A203)</f>
        <v>203</v>
      </c>
      <c r="B215" s="690"/>
      <c r="C215" s="691"/>
      <c r="D215" s="692"/>
      <c r="E215" s="893"/>
      <c r="F215" s="891"/>
      <c r="G215" s="892"/>
      <c r="H215" s="893"/>
      <c r="I215" s="891"/>
      <c r="J215" s="892"/>
      <c r="K215" s="693"/>
      <c r="L215" s="692"/>
      <c r="M215" s="689"/>
      <c r="N215" s="689"/>
    </row>
    <row r="216" spans="1:14" ht="49.5" customHeight="1" x14ac:dyDescent="0.25">
      <c r="A216" s="8">
        <f t="shared" si="4"/>
        <v>204</v>
      </c>
      <c r="B216" s="685"/>
      <c r="C216" s="686"/>
      <c r="D216" s="687"/>
      <c r="E216" s="890"/>
      <c r="F216" s="891"/>
      <c r="G216" s="892"/>
      <c r="H216" s="890"/>
      <c r="I216" s="891"/>
      <c r="J216" s="892"/>
      <c r="K216" s="688"/>
      <c r="L216" s="687"/>
      <c r="M216" s="689"/>
      <c r="N216" s="689"/>
    </row>
    <row r="217" spans="1:14" ht="49.5" customHeight="1" x14ac:dyDescent="0.25">
      <c r="A217" s="8">
        <f t="shared" ref="A217" si="5">ROW(A205)</f>
        <v>205</v>
      </c>
      <c r="B217" s="690"/>
      <c r="C217" s="691"/>
      <c r="D217" s="692"/>
      <c r="E217" s="893"/>
      <c r="F217" s="891"/>
      <c r="G217" s="892"/>
      <c r="H217" s="893"/>
      <c r="I217" s="891"/>
      <c r="J217" s="892"/>
      <c r="K217" s="693"/>
      <c r="L217" s="692"/>
      <c r="M217" s="689"/>
      <c r="N217" s="689"/>
    </row>
    <row r="218" spans="1:14" ht="49.5" customHeight="1" x14ac:dyDescent="0.25">
      <c r="A218" s="8">
        <f t="shared" si="4"/>
        <v>206</v>
      </c>
      <c r="B218" s="685"/>
      <c r="C218" s="686"/>
      <c r="D218" s="687"/>
      <c r="E218" s="890"/>
      <c r="F218" s="891"/>
      <c r="G218" s="892"/>
      <c r="H218" s="890"/>
      <c r="I218" s="891"/>
      <c r="J218" s="892"/>
      <c r="K218" s="688"/>
      <c r="L218" s="687"/>
      <c r="M218" s="689"/>
      <c r="N218" s="689"/>
    </row>
    <row r="219" spans="1:14" ht="49.5" customHeight="1" x14ac:dyDescent="0.25">
      <c r="A219" s="8">
        <f t="shared" ref="A219:A225" si="6">ROW(A207)</f>
        <v>207</v>
      </c>
      <c r="B219" s="690"/>
      <c r="C219" s="691"/>
      <c r="D219" s="692"/>
      <c r="E219" s="893"/>
      <c r="F219" s="891"/>
      <c r="G219" s="892"/>
      <c r="H219" s="893"/>
      <c r="I219" s="891"/>
      <c r="J219" s="892"/>
      <c r="K219" s="693"/>
      <c r="L219" s="692"/>
      <c r="M219" s="689"/>
      <c r="N219" s="689"/>
    </row>
    <row r="220" spans="1:14" ht="49.5" customHeight="1" x14ac:dyDescent="0.25">
      <c r="A220" s="8">
        <f t="shared" si="6"/>
        <v>208</v>
      </c>
      <c r="B220" s="685"/>
      <c r="C220" s="686"/>
      <c r="D220" s="687"/>
      <c r="E220" s="890"/>
      <c r="F220" s="891"/>
      <c r="G220" s="892"/>
      <c r="H220" s="890"/>
      <c r="I220" s="891"/>
      <c r="J220" s="892"/>
      <c r="K220" s="688"/>
      <c r="L220" s="687"/>
      <c r="M220" s="689"/>
      <c r="N220" s="689"/>
    </row>
    <row r="221" spans="1:14" ht="49.5" customHeight="1" x14ac:dyDescent="0.25">
      <c r="A221" s="8">
        <f t="shared" si="6"/>
        <v>209</v>
      </c>
      <c r="B221" s="690"/>
      <c r="C221" s="691"/>
      <c r="D221" s="692"/>
      <c r="E221" s="893"/>
      <c r="F221" s="891"/>
      <c r="G221" s="892"/>
      <c r="H221" s="893"/>
      <c r="I221" s="891"/>
      <c r="J221" s="892"/>
      <c r="K221" s="693"/>
      <c r="L221" s="692"/>
      <c r="M221" s="689"/>
      <c r="N221" s="689"/>
    </row>
    <row r="222" spans="1:14" ht="49.5" customHeight="1" x14ac:dyDescent="0.25">
      <c r="A222" s="8">
        <f t="shared" si="6"/>
        <v>210</v>
      </c>
      <c r="B222" s="685"/>
      <c r="C222" s="686"/>
      <c r="D222" s="687"/>
      <c r="E222" s="890"/>
      <c r="F222" s="891"/>
      <c r="G222" s="892"/>
      <c r="H222" s="890"/>
      <c r="I222" s="891"/>
      <c r="J222" s="892"/>
      <c r="K222" s="688"/>
      <c r="L222" s="687"/>
      <c r="M222" s="689"/>
      <c r="N222" s="689"/>
    </row>
    <row r="223" spans="1:14" ht="49.5" customHeight="1" x14ac:dyDescent="0.25">
      <c r="A223" s="8">
        <f t="shared" si="6"/>
        <v>211</v>
      </c>
      <c r="B223" s="690"/>
      <c r="C223" s="691"/>
      <c r="D223" s="692"/>
      <c r="E223" s="893"/>
      <c r="F223" s="891"/>
      <c r="G223" s="892"/>
      <c r="H223" s="893"/>
      <c r="I223" s="891"/>
      <c r="J223" s="892"/>
      <c r="K223" s="693"/>
      <c r="L223" s="692"/>
      <c r="M223" s="689"/>
      <c r="N223" s="689"/>
    </row>
    <row r="224" spans="1:14" ht="49.5" customHeight="1" x14ac:dyDescent="0.25">
      <c r="A224" s="8">
        <f t="shared" si="6"/>
        <v>212</v>
      </c>
      <c r="B224" s="685"/>
      <c r="C224" s="686"/>
      <c r="D224" s="687"/>
      <c r="E224" s="890"/>
      <c r="F224" s="891"/>
      <c r="G224" s="892"/>
      <c r="H224" s="890"/>
      <c r="I224" s="891"/>
      <c r="J224" s="892"/>
      <c r="K224" s="688"/>
      <c r="L224" s="687"/>
      <c r="M224" s="689"/>
      <c r="N224" s="689"/>
    </row>
    <row r="225" spans="1:14" ht="49.5" customHeight="1" x14ac:dyDescent="0.25">
      <c r="A225" s="8">
        <f t="shared" si="6"/>
        <v>213</v>
      </c>
      <c r="B225" s="690"/>
      <c r="C225" s="691"/>
      <c r="D225" s="692"/>
      <c r="E225" s="893"/>
      <c r="F225" s="891"/>
      <c r="G225" s="892"/>
      <c r="H225" s="893"/>
      <c r="I225" s="891"/>
      <c r="J225" s="892"/>
      <c r="K225" s="693"/>
      <c r="L225" s="692"/>
      <c r="M225" s="689"/>
      <c r="N225" s="689"/>
    </row>
    <row r="226" spans="1:14" ht="15.75" customHeight="1" x14ac:dyDescent="0.25"/>
    <row r="227" spans="1:14" ht="15.75" customHeight="1" x14ac:dyDescent="0.25"/>
    <row r="228" spans="1:14" ht="15.75" customHeight="1" x14ac:dyDescent="0.25"/>
    <row r="229" spans="1:14" ht="15.75" customHeight="1" x14ac:dyDescent="0.25"/>
    <row r="230" spans="1:14" ht="15.75" customHeight="1" x14ac:dyDescent="0.25"/>
    <row r="231" spans="1:14" ht="15.75" customHeight="1" x14ac:dyDescent="0.25"/>
    <row r="232" spans="1:14" ht="15.75" customHeight="1" x14ac:dyDescent="0.25"/>
    <row r="233" spans="1:14" ht="15.75" customHeight="1" x14ac:dyDescent="0.25"/>
    <row r="234" spans="1:14" ht="15.75" customHeight="1" x14ac:dyDescent="0.25"/>
    <row r="235" spans="1:14" ht="15.75" customHeight="1" x14ac:dyDescent="0.25"/>
    <row r="236" spans="1:14" ht="15.75" customHeight="1" x14ac:dyDescent="0.25"/>
    <row r="237" spans="1:14" ht="15.75" customHeight="1" x14ac:dyDescent="0.25"/>
    <row r="238" spans="1:14" ht="15.75" customHeight="1" x14ac:dyDescent="0.25"/>
    <row r="239" spans="1:14" ht="15.75" customHeight="1" x14ac:dyDescent="0.25"/>
    <row r="240" spans="1:1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sheetData>
  <sheetProtection algorithmName="SHA-512" hashValue="OaBpEnRr3i0v3atxuaqGlzyu1cm0mQYKTTG/ONZJcoHSmt7RKwSr1lGyx6H8kwy/NLAbStx/x8QN659u8rRJ/Q==" saltValue="+6NSSC6+CE8WpRlvADnC6g==" spinCount="100000" sheet="1" objects="1" scenarios="1"/>
  <mergeCells count="452">
    <mergeCell ref="L211:N211"/>
    <mergeCell ref="L212:N212"/>
    <mergeCell ref="H198:J198"/>
    <mergeCell ref="H199:J199"/>
    <mergeCell ref="H200:J200"/>
    <mergeCell ref="H201:J201"/>
    <mergeCell ref="E191:G191"/>
    <mergeCell ref="H191:J191"/>
    <mergeCell ref="E192:G192"/>
    <mergeCell ref="H192:J192"/>
    <mergeCell ref="E193:G193"/>
    <mergeCell ref="H193:J193"/>
    <mergeCell ref="H194:J194"/>
    <mergeCell ref="E201:G201"/>
    <mergeCell ref="E194:G194"/>
    <mergeCell ref="E195:G195"/>
    <mergeCell ref="E196:G196"/>
    <mergeCell ref="E197:G197"/>
    <mergeCell ref="E198:G198"/>
    <mergeCell ref="E199:G199"/>
    <mergeCell ref="E200:G200"/>
    <mergeCell ref="E203:G203"/>
    <mergeCell ref="H203:J203"/>
    <mergeCell ref="E204:G204"/>
    <mergeCell ref="E71:G71"/>
    <mergeCell ref="E72:G72"/>
    <mergeCell ref="E73:G73"/>
    <mergeCell ref="H73:J73"/>
    <mergeCell ref="E74:G74"/>
    <mergeCell ref="H74:J74"/>
    <mergeCell ref="H195:J195"/>
    <mergeCell ref="H196:J196"/>
    <mergeCell ref="H197:J197"/>
    <mergeCell ref="H71:J71"/>
    <mergeCell ref="H72:J72"/>
    <mergeCell ref="E187:G187"/>
    <mergeCell ref="E188:G188"/>
    <mergeCell ref="E189:G189"/>
    <mergeCell ref="H189:J189"/>
    <mergeCell ref="E190:G190"/>
    <mergeCell ref="H190:J190"/>
    <mergeCell ref="H179:J179"/>
    <mergeCell ref="E179:G179"/>
    <mergeCell ref="E180:G180"/>
    <mergeCell ref="E181:G181"/>
    <mergeCell ref="E182:G182"/>
    <mergeCell ref="E183:G183"/>
    <mergeCell ref="E184:G184"/>
    <mergeCell ref="H63:J63"/>
    <mergeCell ref="E63:G63"/>
    <mergeCell ref="E64:G64"/>
    <mergeCell ref="E65:G65"/>
    <mergeCell ref="E66:G66"/>
    <mergeCell ref="E67:G67"/>
    <mergeCell ref="E68:G68"/>
    <mergeCell ref="E69:G69"/>
    <mergeCell ref="E70:G70"/>
    <mergeCell ref="H64:J64"/>
    <mergeCell ref="H65:J65"/>
    <mergeCell ref="H66:J66"/>
    <mergeCell ref="H67:J67"/>
    <mergeCell ref="H68:J68"/>
    <mergeCell ref="H69:J69"/>
    <mergeCell ref="H70:J70"/>
    <mergeCell ref="H56:J56"/>
    <mergeCell ref="E56:G56"/>
    <mergeCell ref="E57:G57"/>
    <mergeCell ref="E58:G58"/>
    <mergeCell ref="E59:G59"/>
    <mergeCell ref="E60:G60"/>
    <mergeCell ref="E61:G61"/>
    <mergeCell ref="E62:G62"/>
    <mergeCell ref="H57:J57"/>
    <mergeCell ref="H58:J58"/>
    <mergeCell ref="H59:J59"/>
    <mergeCell ref="H60:J60"/>
    <mergeCell ref="H61:J61"/>
    <mergeCell ref="H62:J62"/>
    <mergeCell ref="E51:G51"/>
    <mergeCell ref="E52:G52"/>
    <mergeCell ref="E53:G53"/>
    <mergeCell ref="E54:G54"/>
    <mergeCell ref="E55:G55"/>
    <mergeCell ref="H50:J50"/>
    <mergeCell ref="H51:J51"/>
    <mergeCell ref="H52:J52"/>
    <mergeCell ref="H53:J53"/>
    <mergeCell ref="H54:J54"/>
    <mergeCell ref="H55:J55"/>
    <mergeCell ref="E46:G46"/>
    <mergeCell ref="H46:J46"/>
    <mergeCell ref="E47:G47"/>
    <mergeCell ref="H47:J47"/>
    <mergeCell ref="E48:G48"/>
    <mergeCell ref="H48:J48"/>
    <mergeCell ref="H49:J49"/>
    <mergeCell ref="E49:G49"/>
    <mergeCell ref="E50:G50"/>
    <mergeCell ref="E39:G39"/>
    <mergeCell ref="E40:G40"/>
    <mergeCell ref="E41:G41"/>
    <mergeCell ref="E42:G42"/>
    <mergeCell ref="E43:G43"/>
    <mergeCell ref="E44:G44"/>
    <mergeCell ref="H44:J44"/>
    <mergeCell ref="E45:G45"/>
    <mergeCell ref="H45:J45"/>
    <mergeCell ref="H32:J32"/>
    <mergeCell ref="E33:G33"/>
    <mergeCell ref="H33:J33"/>
    <mergeCell ref="H34:J34"/>
    <mergeCell ref="E34:G34"/>
    <mergeCell ref="E35:G35"/>
    <mergeCell ref="E36:G36"/>
    <mergeCell ref="E37:G37"/>
    <mergeCell ref="E38:G38"/>
    <mergeCell ref="L22:N22"/>
    <mergeCell ref="H23:J23"/>
    <mergeCell ref="H24:J24"/>
    <mergeCell ref="H25:J25"/>
    <mergeCell ref="H26:J26"/>
    <mergeCell ref="H27:J27"/>
    <mergeCell ref="E17:G17"/>
    <mergeCell ref="H17:J17"/>
    <mergeCell ref="E18:G18"/>
    <mergeCell ref="H18:J18"/>
    <mergeCell ref="E19:G19"/>
    <mergeCell ref="H19:J19"/>
    <mergeCell ref="H20:J20"/>
    <mergeCell ref="E20:G20"/>
    <mergeCell ref="E21:G21"/>
    <mergeCell ref="E22:G22"/>
    <mergeCell ref="E23:G23"/>
    <mergeCell ref="E24:G24"/>
    <mergeCell ref="E25:G25"/>
    <mergeCell ref="E26:G26"/>
    <mergeCell ref="E27:G27"/>
    <mergeCell ref="E15:G15"/>
    <mergeCell ref="H15:J15"/>
    <mergeCell ref="E16:G16"/>
    <mergeCell ref="H16:J16"/>
    <mergeCell ref="H42:J42"/>
    <mergeCell ref="H43:J43"/>
    <mergeCell ref="H35:J35"/>
    <mergeCell ref="H36:J36"/>
    <mergeCell ref="H37:J37"/>
    <mergeCell ref="H38:J38"/>
    <mergeCell ref="H39:J39"/>
    <mergeCell ref="H40:J40"/>
    <mergeCell ref="H41:J41"/>
    <mergeCell ref="H21:J21"/>
    <mergeCell ref="H22:J22"/>
    <mergeCell ref="E28:G28"/>
    <mergeCell ref="H28:J28"/>
    <mergeCell ref="E29:G29"/>
    <mergeCell ref="H29:J29"/>
    <mergeCell ref="E30:G30"/>
    <mergeCell ref="H30:J30"/>
    <mergeCell ref="E31:G31"/>
    <mergeCell ref="H31:J31"/>
    <mergeCell ref="E32:G32"/>
    <mergeCell ref="A1:L1"/>
    <mergeCell ref="E2:G2"/>
    <mergeCell ref="H2:J2"/>
    <mergeCell ref="E3:G3"/>
    <mergeCell ref="H3:J3"/>
    <mergeCell ref="E4:G4"/>
    <mergeCell ref="H4:J4"/>
    <mergeCell ref="H5:J5"/>
    <mergeCell ref="E5:G5"/>
    <mergeCell ref="H13:J13"/>
    <mergeCell ref="H14:J14"/>
    <mergeCell ref="H6:J6"/>
    <mergeCell ref="H7:J7"/>
    <mergeCell ref="H8:J8"/>
    <mergeCell ref="H9:J9"/>
    <mergeCell ref="H10:J10"/>
    <mergeCell ref="H11:J11"/>
    <mergeCell ref="H12:J12"/>
    <mergeCell ref="E6:G6"/>
    <mergeCell ref="E7:G7"/>
    <mergeCell ref="E8:G8"/>
    <mergeCell ref="E9:G9"/>
    <mergeCell ref="E10:G10"/>
    <mergeCell ref="E11:G11"/>
    <mergeCell ref="E12:G12"/>
    <mergeCell ref="E13:G13"/>
    <mergeCell ref="E14:G14"/>
    <mergeCell ref="E185:G185"/>
    <mergeCell ref="E186:G186"/>
    <mergeCell ref="H172:J172"/>
    <mergeCell ref="E172:G172"/>
    <mergeCell ref="E173:G173"/>
    <mergeCell ref="E174:G174"/>
    <mergeCell ref="E175:G175"/>
    <mergeCell ref="E176:G176"/>
    <mergeCell ref="E177:G177"/>
    <mergeCell ref="E178:G178"/>
    <mergeCell ref="H173:J173"/>
    <mergeCell ref="H174:J174"/>
    <mergeCell ref="H175:J175"/>
    <mergeCell ref="H176:J176"/>
    <mergeCell ref="H177:J177"/>
    <mergeCell ref="H178:J178"/>
    <mergeCell ref="E167:G167"/>
    <mergeCell ref="E168:G168"/>
    <mergeCell ref="E169:G169"/>
    <mergeCell ref="E170:G170"/>
    <mergeCell ref="E171:G171"/>
    <mergeCell ref="H166:J166"/>
    <mergeCell ref="H167:J167"/>
    <mergeCell ref="H168:J168"/>
    <mergeCell ref="H169:J169"/>
    <mergeCell ref="H170:J170"/>
    <mergeCell ref="H171:J171"/>
    <mergeCell ref="E158:G158"/>
    <mergeCell ref="E159:G159"/>
    <mergeCell ref="E160:G160"/>
    <mergeCell ref="H160:J160"/>
    <mergeCell ref="E161:G161"/>
    <mergeCell ref="H161:J161"/>
    <mergeCell ref="H187:J187"/>
    <mergeCell ref="H188:J188"/>
    <mergeCell ref="H180:J180"/>
    <mergeCell ref="H181:J181"/>
    <mergeCell ref="H182:J182"/>
    <mergeCell ref="H183:J183"/>
    <mergeCell ref="H184:J184"/>
    <mergeCell ref="H185:J185"/>
    <mergeCell ref="H186:J186"/>
    <mergeCell ref="E162:G162"/>
    <mergeCell ref="H162:J162"/>
    <mergeCell ref="E163:G163"/>
    <mergeCell ref="H163:J163"/>
    <mergeCell ref="E164:G164"/>
    <mergeCell ref="H164:J164"/>
    <mergeCell ref="H165:J165"/>
    <mergeCell ref="E165:G165"/>
    <mergeCell ref="E166:G166"/>
    <mergeCell ref="H150:J150"/>
    <mergeCell ref="E150:G150"/>
    <mergeCell ref="E151:G151"/>
    <mergeCell ref="E152:G152"/>
    <mergeCell ref="E153:G153"/>
    <mergeCell ref="E154:G154"/>
    <mergeCell ref="E155:G155"/>
    <mergeCell ref="E156:G156"/>
    <mergeCell ref="E157:G157"/>
    <mergeCell ref="H143:J143"/>
    <mergeCell ref="E143:G143"/>
    <mergeCell ref="E144:G144"/>
    <mergeCell ref="E145:G145"/>
    <mergeCell ref="E146:G146"/>
    <mergeCell ref="E147:G147"/>
    <mergeCell ref="E148:G148"/>
    <mergeCell ref="E149:G149"/>
    <mergeCell ref="H144:J144"/>
    <mergeCell ref="H145:J145"/>
    <mergeCell ref="H146:J146"/>
    <mergeCell ref="H147:J147"/>
    <mergeCell ref="H148:J148"/>
    <mergeCell ref="H149:J149"/>
    <mergeCell ref="E138:G138"/>
    <mergeCell ref="E139:G139"/>
    <mergeCell ref="E140:G140"/>
    <mergeCell ref="E141:G141"/>
    <mergeCell ref="E142:G142"/>
    <mergeCell ref="H137:J137"/>
    <mergeCell ref="H138:J138"/>
    <mergeCell ref="H139:J139"/>
    <mergeCell ref="H140:J140"/>
    <mergeCell ref="H141:J141"/>
    <mergeCell ref="H142:J142"/>
    <mergeCell ref="E129:G129"/>
    <mergeCell ref="E130:G130"/>
    <mergeCell ref="E131:G131"/>
    <mergeCell ref="H131:J131"/>
    <mergeCell ref="E132:G132"/>
    <mergeCell ref="H132:J132"/>
    <mergeCell ref="H158:J158"/>
    <mergeCell ref="H159:J159"/>
    <mergeCell ref="H151:J151"/>
    <mergeCell ref="H152:J152"/>
    <mergeCell ref="H153:J153"/>
    <mergeCell ref="H154:J154"/>
    <mergeCell ref="H155:J155"/>
    <mergeCell ref="H156:J156"/>
    <mergeCell ref="H157:J157"/>
    <mergeCell ref="E133:G133"/>
    <mergeCell ref="H133:J133"/>
    <mergeCell ref="E134:G134"/>
    <mergeCell ref="H134:J134"/>
    <mergeCell ref="E135:G135"/>
    <mergeCell ref="H135:J135"/>
    <mergeCell ref="H136:J136"/>
    <mergeCell ref="E136:G136"/>
    <mergeCell ref="E137:G137"/>
    <mergeCell ref="H121:J121"/>
    <mergeCell ref="E121:G121"/>
    <mergeCell ref="E122:G122"/>
    <mergeCell ref="E123:G123"/>
    <mergeCell ref="E124:G124"/>
    <mergeCell ref="E125:G125"/>
    <mergeCell ref="E126:G126"/>
    <mergeCell ref="E127:G127"/>
    <mergeCell ref="E128:G128"/>
    <mergeCell ref="E115:G115"/>
    <mergeCell ref="E116:G116"/>
    <mergeCell ref="E117:G117"/>
    <mergeCell ref="E118:G118"/>
    <mergeCell ref="E119:G119"/>
    <mergeCell ref="E120:G120"/>
    <mergeCell ref="H115:J115"/>
    <mergeCell ref="H116:J116"/>
    <mergeCell ref="H117:J117"/>
    <mergeCell ref="H118:J118"/>
    <mergeCell ref="H119:J119"/>
    <mergeCell ref="H120:J120"/>
    <mergeCell ref="E113:G113"/>
    <mergeCell ref="H108:J108"/>
    <mergeCell ref="H109:J109"/>
    <mergeCell ref="H110:J110"/>
    <mergeCell ref="H111:J111"/>
    <mergeCell ref="H112:J112"/>
    <mergeCell ref="H113:J113"/>
    <mergeCell ref="H114:J114"/>
    <mergeCell ref="E114:G114"/>
    <mergeCell ref="E106:G106"/>
    <mergeCell ref="H106:J106"/>
    <mergeCell ref="H107:J107"/>
    <mergeCell ref="E107:G107"/>
    <mergeCell ref="E108:G108"/>
    <mergeCell ref="E109:G109"/>
    <mergeCell ref="E110:G110"/>
    <mergeCell ref="E111:G111"/>
    <mergeCell ref="E112:G112"/>
    <mergeCell ref="E93:G93"/>
    <mergeCell ref="E94:G94"/>
    <mergeCell ref="E95:G95"/>
    <mergeCell ref="E96:G96"/>
    <mergeCell ref="E97:G97"/>
    <mergeCell ref="E98:G98"/>
    <mergeCell ref="E99:G99"/>
    <mergeCell ref="E100:G100"/>
    <mergeCell ref="E101:G101"/>
    <mergeCell ref="E90:G90"/>
    <mergeCell ref="E91:G91"/>
    <mergeCell ref="H86:J86"/>
    <mergeCell ref="H87:J87"/>
    <mergeCell ref="H88:J88"/>
    <mergeCell ref="H89:J89"/>
    <mergeCell ref="H90:J90"/>
    <mergeCell ref="H91:J91"/>
    <mergeCell ref="H92:J92"/>
    <mergeCell ref="E92:G92"/>
    <mergeCell ref="H82:J82"/>
    <mergeCell ref="H83:J83"/>
    <mergeCell ref="H84:J84"/>
    <mergeCell ref="H85:J85"/>
    <mergeCell ref="E85:G85"/>
    <mergeCell ref="E86:G86"/>
    <mergeCell ref="E87:G87"/>
    <mergeCell ref="E88:G88"/>
    <mergeCell ref="E89:G89"/>
    <mergeCell ref="H93:J93"/>
    <mergeCell ref="H94:J94"/>
    <mergeCell ref="H95:J95"/>
    <mergeCell ref="H96:J96"/>
    <mergeCell ref="H97:J97"/>
    <mergeCell ref="H98:J98"/>
    <mergeCell ref="H99:J99"/>
    <mergeCell ref="E75:G75"/>
    <mergeCell ref="H75:J75"/>
    <mergeCell ref="E76:G76"/>
    <mergeCell ref="H76:J76"/>
    <mergeCell ref="E77:G77"/>
    <mergeCell ref="H77:J77"/>
    <mergeCell ref="H78:J78"/>
    <mergeCell ref="E78:G78"/>
    <mergeCell ref="E79:G79"/>
    <mergeCell ref="E80:G80"/>
    <mergeCell ref="E81:G81"/>
    <mergeCell ref="E82:G82"/>
    <mergeCell ref="E83:G83"/>
    <mergeCell ref="E84:G84"/>
    <mergeCell ref="H79:J79"/>
    <mergeCell ref="H80:J80"/>
    <mergeCell ref="H81:J81"/>
    <mergeCell ref="H204:J204"/>
    <mergeCell ref="E205:G205"/>
    <mergeCell ref="H205:J205"/>
    <mergeCell ref="E206:G206"/>
    <mergeCell ref="H206:J206"/>
    <mergeCell ref="H100:J100"/>
    <mergeCell ref="H101:J101"/>
    <mergeCell ref="E102:G102"/>
    <mergeCell ref="H102:J102"/>
    <mergeCell ref="E103:G103"/>
    <mergeCell ref="H103:J103"/>
    <mergeCell ref="H129:J129"/>
    <mergeCell ref="H130:J130"/>
    <mergeCell ref="H122:J122"/>
    <mergeCell ref="H123:J123"/>
    <mergeCell ref="H124:J124"/>
    <mergeCell ref="H125:J125"/>
    <mergeCell ref="H126:J126"/>
    <mergeCell ref="H127:J127"/>
    <mergeCell ref="H128:J128"/>
    <mergeCell ref="E104:G104"/>
    <mergeCell ref="H104:J104"/>
    <mergeCell ref="E105:G105"/>
    <mergeCell ref="H105:J105"/>
    <mergeCell ref="E214:G214"/>
    <mergeCell ref="H214:J214"/>
    <mergeCell ref="E215:G215"/>
    <mergeCell ref="H215:J215"/>
    <mergeCell ref="E216:G216"/>
    <mergeCell ref="H216:J216"/>
    <mergeCell ref="E207:G207"/>
    <mergeCell ref="H207:J207"/>
    <mergeCell ref="E208:G208"/>
    <mergeCell ref="H208:J208"/>
    <mergeCell ref="E209:G209"/>
    <mergeCell ref="H209:J209"/>
    <mergeCell ref="E210:G210"/>
    <mergeCell ref="H210:J210"/>
    <mergeCell ref="E211:G211"/>
    <mergeCell ref="H211:J211"/>
    <mergeCell ref="E222:G222"/>
    <mergeCell ref="H222:J222"/>
    <mergeCell ref="E223:G223"/>
    <mergeCell ref="H223:J223"/>
    <mergeCell ref="E224:G224"/>
    <mergeCell ref="H224:J224"/>
    <mergeCell ref="E225:G225"/>
    <mergeCell ref="H225:J225"/>
    <mergeCell ref="E202:G202"/>
    <mergeCell ref="H202:J202"/>
    <mergeCell ref="E217:G217"/>
    <mergeCell ref="H217:J217"/>
    <mergeCell ref="E218:G218"/>
    <mergeCell ref="H218:J218"/>
    <mergeCell ref="E219:G219"/>
    <mergeCell ref="H219:J219"/>
    <mergeCell ref="E220:G220"/>
    <mergeCell ref="H220:J220"/>
    <mergeCell ref="E221:G221"/>
    <mergeCell ref="H221:J221"/>
    <mergeCell ref="E212:G212"/>
    <mergeCell ref="H212:J212"/>
    <mergeCell ref="E213:G213"/>
    <mergeCell ref="H213:J213"/>
  </mergeCells>
  <conditionalFormatting sqref="C3:D225">
    <cfRule type="expression" dxfId="0" priority="1">
      <formula>$C3="Other (list in Note Section) "</formula>
    </cfRule>
  </conditionalFormatting>
  <dataValidations count="1">
    <dataValidation type="decimal" allowBlank="1" showInputMessage="1" showErrorMessage="1" prompt="Use a number, Do NOT use alphabet. " sqref="K3:K225" xr:uid="{00000000-0002-0000-1500-000001000000}">
      <formula1>0</formula1>
      <formula2>5000</formula2>
    </dataValidation>
  </dataValidation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500-000000000000}">
          <x14:formula1>
            <xm:f>'Pick List '!$H$182:$H$188</xm:f>
          </x14:formula1>
          <xm:sqref>C3:C225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6000"/>
  </sheetPr>
  <dimension ref="A1:AF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2.42578125" customWidth="1"/>
    <col min="3" max="3" width="15.28515625" customWidth="1"/>
    <col min="4" max="6" width="13.7109375" customWidth="1"/>
    <col min="7" max="7" width="8.85546875" customWidth="1"/>
    <col min="8" max="8" width="14.85546875" customWidth="1"/>
    <col min="9" max="9" width="10.42578125" customWidth="1"/>
    <col min="10" max="11" width="11.42578125" customWidth="1"/>
    <col min="12" max="14" width="13.42578125" customWidth="1"/>
    <col min="15" max="15" width="12.42578125" customWidth="1"/>
    <col min="16" max="17" width="15.140625" customWidth="1"/>
    <col min="18" max="20" width="14" customWidth="1"/>
    <col min="21" max="32" width="8.7109375" customWidth="1"/>
  </cols>
  <sheetData>
    <row r="1" spans="1:32" ht="60" customHeight="1" x14ac:dyDescent="0.25">
      <c r="A1" s="10" t="s">
        <v>27</v>
      </c>
      <c r="B1" s="754" t="s">
        <v>28</v>
      </c>
      <c r="C1" s="698"/>
      <c r="D1" s="698"/>
      <c r="E1" s="698"/>
      <c r="F1" s="698"/>
      <c r="G1" s="698"/>
      <c r="H1" s="699"/>
      <c r="I1" s="752" t="s">
        <v>29</v>
      </c>
      <c r="J1" s="699"/>
      <c r="K1" s="753" t="s">
        <v>30</v>
      </c>
      <c r="L1" s="699"/>
      <c r="M1" s="752" t="s">
        <v>31</v>
      </c>
      <c r="N1" s="699"/>
      <c r="O1" s="753" t="s">
        <v>32</v>
      </c>
      <c r="P1" s="699"/>
      <c r="Q1" s="752" t="s">
        <v>33</v>
      </c>
      <c r="R1" s="699"/>
      <c r="S1" s="753" t="s">
        <v>34</v>
      </c>
      <c r="T1" s="699"/>
      <c r="U1" s="752" t="s">
        <v>35</v>
      </c>
      <c r="V1" s="699"/>
      <c r="W1" s="753" t="s">
        <v>23</v>
      </c>
      <c r="X1" s="699"/>
      <c r="Y1" s="752" t="s">
        <v>24</v>
      </c>
      <c r="Z1" s="699"/>
      <c r="AA1" s="753" t="s">
        <v>25</v>
      </c>
      <c r="AB1" s="699"/>
      <c r="AC1" s="752" t="s">
        <v>36</v>
      </c>
      <c r="AD1" s="699"/>
      <c r="AE1" s="753" t="s">
        <v>37</v>
      </c>
      <c r="AF1" s="699"/>
    </row>
    <row r="2" spans="1:32" ht="15.75" x14ac:dyDescent="0.25">
      <c r="A2" s="755" t="str">
        <f>'BASE GRANTEE INFO &amp; UPDATES'!A1</f>
        <v>WV Bureau For Behavioral Health - Harm Reduction 2025</v>
      </c>
      <c r="B2" s="708"/>
      <c r="C2" s="708"/>
      <c r="D2" s="708"/>
      <c r="E2" s="708"/>
      <c r="F2" s="708"/>
      <c r="G2" s="708"/>
      <c r="H2" s="708"/>
      <c r="I2" s="708"/>
      <c r="J2" s="708"/>
      <c r="K2" s="708"/>
      <c r="L2" s="708"/>
      <c r="M2" s="708"/>
      <c r="N2" s="708"/>
      <c r="O2" s="709"/>
      <c r="P2" s="11"/>
      <c r="Q2" s="11"/>
      <c r="R2" s="11"/>
      <c r="S2" s="11"/>
      <c r="T2" s="11"/>
      <c r="U2" s="11"/>
      <c r="V2" s="11"/>
      <c r="W2" s="11"/>
      <c r="X2" s="11"/>
      <c r="Y2" s="11"/>
      <c r="Z2" s="12"/>
      <c r="AA2" s="12"/>
      <c r="AB2" s="12"/>
      <c r="AC2" s="12"/>
      <c r="AD2" s="12"/>
      <c r="AE2" s="12"/>
      <c r="AF2" s="12"/>
    </row>
    <row r="3" spans="1:32" ht="15.75" x14ac:dyDescent="0.25">
      <c r="A3" s="755">
        <f>'BASE GRANTEE INFO &amp; UPDATES'!A2</f>
        <v>0</v>
      </c>
      <c r="B3" s="708"/>
      <c r="C3" s="708"/>
      <c r="D3" s="708"/>
      <c r="E3" s="708"/>
      <c r="F3" s="708"/>
      <c r="G3" s="708"/>
      <c r="H3" s="708"/>
      <c r="I3" s="708"/>
      <c r="J3" s="708"/>
      <c r="K3" s="708"/>
      <c r="L3" s="708"/>
      <c r="M3" s="708"/>
      <c r="N3" s="708"/>
      <c r="O3" s="709"/>
      <c r="P3" s="11"/>
      <c r="Q3" s="11"/>
      <c r="R3" s="11"/>
      <c r="S3" s="11"/>
      <c r="T3" s="11"/>
      <c r="U3" s="11"/>
      <c r="V3" s="11"/>
      <c r="W3" s="11"/>
      <c r="X3" s="11"/>
      <c r="Y3" s="11"/>
      <c r="Z3" s="12"/>
      <c r="AA3" s="12"/>
      <c r="AB3" s="12"/>
      <c r="AC3" s="12"/>
      <c r="AD3" s="12"/>
      <c r="AE3" s="12"/>
      <c r="AF3" s="12"/>
    </row>
    <row r="4" spans="1:32" ht="15.75" x14ac:dyDescent="0.25">
      <c r="A4" s="756"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11"/>
      <c r="N4" s="711"/>
      <c r="O4" s="757"/>
      <c r="P4" s="13"/>
      <c r="Q4" s="13"/>
      <c r="R4" s="13"/>
      <c r="S4" s="13"/>
      <c r="T4" s="13"/>
      <c r="U4" s="13"/>
      <c r="V4" s="13"/>
      <c r="W4" s="13"/>
      <c r="X4" s="13"/>
      <c r="Y4" s="13"/>
      <c r="Z4" s="12"/>
      <c r="AA4" s="12"/>
      <c r="AB4" s="12"/>
      <c r="AC4" s="12"/>
      <c r="AD4" s="12"/>
      <c r="AE4" s="12"/>
      <c r="AF4" s="12"/>
    </row>
    <row r="5" spans="1:32" ht="18.75" x14ac:dyDescent="0.25">
      <c r="A5" s="758" t="s">
        <v>38</v>
      </c>
      <c r="B5" s="698"/>
      <c r="C5" s="698"/>
      <c r="D5" s="698"/>
      <c r="E5" s="698"/>
      <c r="F5" s="698"/>
      <c r="G5" s="698"/>
      <c r="H5" s="698"/>
      <c r="I5" s="698"/>
      <c r="J5" s="698"/>
      <c r="K5" s="698"/>
      <c r="L5" s="698"/>
      <c r="M5" s="698"/>
      <c r="N5" s="698"/>
      <c r="O5" s="714"/>
      <c r="P5" s="14"/>
      <c r="Q5" s="14"/>
      <c r="R5" s="14"/>
      <c r="S5" s="14"/>
      <c r="T5" s="14"/>
      <c r="U5" s="14"/>
      <c r="V5" s="14"/>
      <c r="W5" s="14"/>
      <c r="X5" s="14"/>
      <c r="Y5" s="14"/>
      <c r="Z5" s="12"/>
      <c r="AA5" s="12"/>
      <c r="AB5" s="12"/>
      <c r="AC5" s="12"/>
      <c r="AD5" s="12"/>
      <c r="AE5" s="12"/>
      <c r="AF5" s="12"/>
    </row>
    <row r="6" spans="1:32" ht="19.5" customHeight="1" x14ac:dyDescent="0.25">
      <c r="A6" s="763" t="s">
        <v>39</v>
      </c>
      <c r="B6" s="698"/>
      <c r="C6" s="698"/>
      <c r="D6" s="699"/>
      <c r="E6" s="759" t="str">
        <f>'BASE GRANTEE INFO &amp; UPDATES'!E5</f>
        <v>Harm Reduction Program</v>
      </c>
      <c r="F6" s="698"/>
      <c r="G6" s="698"/>
      <c r="H6" s="699"/>
      <c r="I6" s="760" t="s">
        <v>0</v>
      </c>
      <c r="J6" s="698"/>
      <c r="K6" s="698"/>
      <c r="L6" s="699"/>
      <c r="M6" s="761">
        <f>'BASE GRANTEE INFO &amp; UPDATES'!M5</f>
        <v>0</v>
      </c>
      <c r="N6" s="698"/>
      <c r="O6" s="699"/>
      <c r="P6" s="15"/>
      <c r="Q6" s="15"/>
      <c r="R6" s="16"/>
      <c r="S6" s="16"/>
      <c r="T6" s="16"/>
      <c r="U6" s="16"/>
      <c r="V6" s="16"/>
      <c r="W6" s="16"/>
      <c r="X6" s="16"/>
      <c r="Y6" s="16"/>
      <c r="Z6" s="12"/>
      <c r="AA6" s="12"/>
      <c r="AB6" s="12"/>
      <c r="AC6" s="12"/>
      <c r="AD6" s="12"/>
      <c r="AE6" s="12"/>
      <c r="AF6" s="12"/>
    </row>
    <row r="7" spans="1:32" ht="19.5" customHeight="1" x14ac:dyDescent="0.25">
      <c r="A7" s="763" t="s">
        <v>40</v>
      </c>
      <c r="B7" s="698"/>
      <c r="C7" s="698"/>
      <c r="D7" s="699"/>
      <c r="E7" s="764">
        <f>'BASE GRANTEE INFO &amp; UPDATES'!E6</f>
        <v>0</v>
      </c>
      <c r="F7" s="698"/>
      <c r="G7" s="698"/>
      <c r="H7" s="699"/>
      <c r="I7" s="760" t="s">
        <v>1</v>
      </c>
      <c r="J7" s="698"/>
      <c r="K7" s="698"/>
      <c r="L7" s="699"/>
      <c r="M7" s="761">
        <f>'BASE GRANTEE INFO &amp; UPDATES'!M6</f>
        <v>0</v>
      </c>
      <c r="N7" s="698"/>
      <c r="O7" s="699"/>
      <c r="P7" s="15"/>
      <c r="Q7" s="15"/>
      <c r="R7" s="16"/>
      <c r="S7" s="16"/>
      <c r="T7" s="16"/>
      <c r="U7" s="16"/>
      <c r="V7" s="16"/>
      <c r="W7" s="16"/>
      <c r="X7" s="16"/>
      <c r="Y7" s="16"/>
      <c r="Z7" s="12"/>
      <c r="AA7" s="12"/>
      <c r="AB7" s="12"/>
      <c r="AC7" s="12"/>
      <c r="AD7" s="12"/>
      <c r="AE7" s="12"/>
      <c r="AF7" s="12"/>
    </row>
    <row r="8" spans="1:32" ht="19.5" customHeight="1" x14ac:dyDescent="0.25">
      <c r="A8" s="765" t="s">
        <v>2</v>
      </c>
      <c r="B8" s="766"/>
      <c r="C8" s="766"/>
      <c r="D8" s="767"/>
      <c r="E8" s="771">
        <f>'BASE GRANTEE INFO &amp; UPDATES'!E7</f>
        <v>0</v>
      </c>
      <c r="F8" s="766"/>
      <c r="G8" s="766"/>
      <c r="H8" s="767"/>
      <c r="I8" s="760" t="s">
        <v>3</v>
      </c>
      <c r="J8" s="698"/>
      <c r="K8" s="698"/>
      <c r="L8" s="699"/>
      <c r="M8" s="761">
        <f>'BASE GRANTEE INFO &amp; UPDATES'!M7</f>
        <v>0</v>
      </c>
      <c r="N8" s="698"/>
      <c r="O8" s="699"/>
      <c r="P8" s="15"/>
      <c r="Q8" s="15"/>
      <c r="R8" s="16"/>
      <c r="S8" s="16"/>
      <c r="T8" s="16"/>
      <c r="U8" s="16"/>
      <c r="V8" s="16"/>
      <c r="W8" s="16"/>
      <c r="X8" s="16"/>
      <c r="Y8" s="16"/>
      <c r="Z8" s="12"/>
      <c r="AA8" s="12"/>
      <c r="AB8" s="12"/>
      <c r="AC8" s="12"/>
      <c r="AD8" s="12"/>
      <c r="AE8" s="12"/>
      <c r="AF8" s="12"/>
    </row>
    <row r="9" spans="1:32" ht="19.5" customHeight="1" x14ac:dyDescent="0.25">
      <c r="A9" s="768"/>
      <c r="B9" s="769"/>
      <c r="C9" s="769"/>
      <c r="D9" s="770"/>
      <c r="E9" s="768"/>
      <c r="F9" s="769"/>
      <c r="G9" s="769"/>
      <c r="H9" s="770"/>
      <c r="I9" s="762" t="s">
        <v>41</v>
      </c>
      <c r="J9" s="698"/>
      <c r="K9" s="698"/>
      <c r="L9" s="699"/>
      <c r="M9" s="761">
        <f>'BASE GRANTEE INFO &amp; UPDATES'!M8</f>
        <v>0</v>
      </c>
      <c r="N9" s="698"/>
      <c r="O9" s="699"/>
      <c r="P9" s="15"/>
      <c r="Q9" s="15"/>
      <c r="R9" s="16"/>
      <c r="S9" s="16"/>
      <c r="T9" s="16"/>
      <c r="U9" s="16"/>
      <c r="V9" s="16"/>
      <c r="W9" s="16"/>
      <c r="X9" s="16"/>
      <c r="Y9" s="16"/>
      <c r="Z9" s="12"/>
      <c r="AA9" s="12"/>
      <c r="AB9" s="12"/>
      <c r="AC9" s="12"/>
      <c r="AD9" s="12"/>
      <c r="AE9" s="12"/>
      <c r="AF9" s="12"/>
    </row>
    <row r="10" spans="1:32" ht="19.5" customHeight="1" x14ac:dyDescent="0.25">
      <c r="A10" s="763" t="s">
        <v>42</v>
      </c>
      <c r="B10" s="698"/>
      <c r="C10" s="698"/>
      <c r="D10" s="699"/>
      <c r="E10" s="772" t="str">
        <f>'BASE GRANTEE INFO &amp; UPDATES'!E9</f>
        <v>September 1 - 30</v>
      </c>
      <c r="F10" s="698"/>
      <c r="G10" s="699"/>
      <c r="H10" s="17">
        <f>'BASE GRANTEE INFO &amp; UPDATES'!G9</f>
        <v>2024</v>
      </c>
      <c r="I10" s="762" t="s">
        <v>43</v>
      </c>
      <c r="J10" s="698"/>
      <c r="K10" s="698"/>
      <c r="L10" s="699"/>
      <c r="M10" s="761">
        <f>'BASE GRANTEE INFO &amp; UPDATES'!M9</f>
        <v>0</v>
      </c>
      <c r="N10" s="698"/>
      <c r="O10" s="699"/>
      <c r="P10" s="15"/>
      <c r="Q10" s="15"/>
      <c r="R10" s="16"/>
      <c r="S10" s="16"/>
      <c r="T10" s="16"/>
      <c r="U10" s="16"/>
      <c r="V10" s="16"/>
      <c r="W10" s="16"/>
      <c r="X10" s="16"/>
      <c r="Y10" s="16"/>
      <c r="Z10" s="12"/>
      <c r="AA10" s="12"/>
      <c r="AB10" s="12"/>
      <c r="AC10" s="12"/>
      <c r="AD10" s="12"/>
      <c r="AE10" s="12"/>
      <c r="AF10" s="12"/>
    </row>
    <row r="11" spans="1:32" ht="18.75" x14ac:dyDescent="0.25">
      <c r="A11" s="758" t="s">
        <v>44</v>
      </c>
      <c r="B11" s="698"/>
      <c r="C11" s="698"/>
      <c r="D11" s="698"/>
      <c r="E11" s="698"/>
      <c r="F11" s="698"/>
      <c r="G11" s="698"/>
      <c r="H11" s="698"/>
      <c r="I11" s="698"/>
      <c r="J11" s="698"/>
      <c r="K11" s="698"/>
      <c r="L11" s="698"/>
      <c r="M11" s="698"/>
      <c r="N11" s="698"/>
      <c r="O11" s="714"/>
      <c r="P11" s="18"/>
      <c r="Q11" s="18"/>
      <c r="R11" s="18"/>
      <c r="S11" s="18"/>
      <c r="T11" s="18"/>
      <c r="U11" s="18"/>
      <c r="V11" s="773"/>
      <c r="W11" s="711"/>
      <c r="X11" s="711"/>
      <c r="Y11" s="757"/>
      <c r="Z11" s="19"/>
      <c r="AA11" s="19"/>
      <c r="AB11" s="19"/>
      <c r="AC11" s="19"/>
      <c r="AD11" s="19"/>
      <c r="AE11" s="19"/>
      <c r="AF11" s="19"/>
    </row>
    <row r="12" spans="1:32" x14ac:dyDescent="0.25">
      <c r="A12" s="10" t="s">
        <v>27</v>
      </c>
      <c r="B12" s="754" t="s">
        <v>28</v>
      </c>
      <c r="C12" s="698"/>
      <c r="D12" s="698"/>
      <c r="E12" s="698"/>
      <c r="F12" s="698"/>
      <c r="G12" s="698"/>
      <c r="H12" s="699"/>
      <c r="I12" s="752" t="s">
        <v>29</v>
      </c>
      <c r="J12" s="699"/>
      <c r="K12" s="753" t="s">
        <v>30</v>
      </c>
      <c r="L12" s="699"/>
      <c r="M12" s="752" t="s">
        <v>31</v>
      </c>
      <c r="N12" s="699"/>
      <c r="O12" s="753" t="s">
        <v>32</v>
      </c>
      <c r="P12" s="699"/>
      <c r="Q12" s="752" t="s">
        <v>33</v>
      </c>
      <c r="R12" s="699"/>
      <c r="S12" s="753" t="s">
        <v>34</v>
      </c>
      <c r="T12" s="699"/>
      <c r="U12" s="752" t="s">
        <v>35</v>
      </c>
      <c r="V12" s="699"/>
      <c r="W12" s="753" t="s">
        <v>23</v>
      </c>
      <c r="X12" s="699"/>
      <c r="Y12" s="752" t="s">
        <v>24</v>
      </c>
      <c r="Z12" s="699"/>
      <c r="AA12" s="753" t="s">
        <v>25</v>
      </c>
      <c r="AB12" s="699"/>
      <c r="AC12" s="752" t="s">
        <v>36</v>
      </c>
      <c r="AD12" s="699"/>
      <c r="AE12" s="753" t="s">
        <v>37</v>
      </c>
      <c r="AF12" s="699"/>
    </row>
    <row r="13" spans="1:32" ht="49.5" customHeight="1" x14ac:dyDescent="0.25">
      <c r="A13" s="10">
        <f t="shared" ref="A13:A28" si="0">ROW(A1)</f>
        <v>1</v>
      </c>
      <c r="B13" s="750" t="s">
        <v>45</v>
      </c>
      <c r="C13" s="698"/>
      <c r="D13" s="698"/>
      <c r="E13" s="698"/>
      <c r="F13" s="698"/>
      <c r="G13" s="698"/>
      <c r="H13" s="699"/>
      <c r="I13" s="748" t="s">
        <v>12</v>
      </c>
      <c r="J13" s="699"/>
      <c r="K13" s="749" t="s">
        <v>12</v>
      </c>
      <c r="L13" s="699"/>
      <c r="M13" s="748" t="s">
        <v>12</v>
      </c>
      <c r="N13" s="699"/>
      <c r="O13" s="749" t="s">
        <v>12</v>
      </c>
      <c r="P13" s="699"/>
      <c r="Q13" s="748" t="s">
        <v>12</v>
      </c>
      <c r="R13" s="699"/>
      <c r="S13" s="749" t="s">
        <v>12</v>
      </c>
      <c r="T13" s="699"/>
      <c r="U13" s="748" t="s">
        <v>12</v>
      </c>
      <c r="V13" s="699"/>
      <c r="W13" s="749" t="s">
        <v>12</v>
      </c>
      <c r="X13" s="699"/>
      <c r="Y13" s="748" t="s">
        <v>12</v>
      </c>
      <c r="Z13" s="699"/>
      <c r="AA13" s="749" t="s">
        <v>12</v>
      </c>
      <c r="AB13" s="699"/>
      <c r="AC13" s="748" t="s">
        <v>12</v>
      </c>
      <c r="AD13" s="699"/>
      <c r="AE13" s="749" t="s">
        <v>12</v>
      </c>
      <c r="AF13" s="699"/>
    </row>
    <row r="14" spans="1:32" ht="49.5" customHeight="1" x14ac:dyDescent="0.25">
      <c r="A14" s="10">
        <f t="shared" si="0"/>
        <v>2</v>
      </c>
      <c r="B14" s="750" t="s">
        <v>46</v>
      </c>
      <c r="C14" s="698"/>
      <c r="D14" s="698"/>
      <c r="E14" s="698"/>
      <c r="F14" s="698"/>
      <c r="G14" s="698"/>
      <c r="H14" s="699"/>
      <c r="I14" s="748" t="s">
        <v>12</v>
      </c>
      <c r="J14" s="699"/>
      <c r="K14" s="749" t="s">
        <v>12</v>
      </c>
      <c r="L14" s="699"/>
      <c r="M14" s="748" t="s">
        <v>12</v>
      </c>
      <c r="N14" s="699"/>
      <c r="O14" s="749" t="s">
        <v>12</v>
      </c>
      <c r="P14" s="699"/>
      <c r="Q14" s="748" t="s">
        <v>12</v>
      </c>
      <c r="R14" s="699"/>
      <c r="S14" s="749" t="s">
        <v>12</v>
      </c>
      <c r="T14" s="699"/>
      <c r="U14" s="748" t="s">
        <v>12</v>
      </c>
      <c r="V14" s="699"/>
      <c r="W14" s="749" t="s">
        <v>12</v>
      </c>
      <c r="X14" s="699"/>
      <c r="Y14" s="748" t="s">
        <v>12</v>
      </c>
      <c r="Z14" s="699"/>
      <c r="AA14" s="749" t="s">
        <v>12</v>
      </c>
      <c r="AB14" s="699"/>
      <c r="AC14" s="748" t="s">
        <v>12</v>
      </c>
      <c r="AD14" s="699"/>
      <c r="AE14" s="749" t="s">
        <v>12</v>
      </c>
      <c r="AF14" s="699"/>
    </row>
    <row r="15" spans="1:32" ht="49.5" customHeight="1" x14ac:dyDescent="0.25">
      <c r="A15" s="10">
        <f t="shared" si="0"/>
        <v>3</v>
      </c>
      <c r="B15" s="750"/>
      <c r="C15" s="698"/>
      <c r="D15" s="698"/>
      <c r="E15" s="698"/>
      <c r="F15" s="698"/>
      <c r="G15" s="698"/>
      <c r="H15" s="699"/>
      <c r="I15" s="748" t="s">
        <v>12</v>
      </c>
      <c r="J15" s="699"/>
      <c r="K15" s="749" t="s">
        <v>12</v>
      </c>
      <c r="L15" s="699"/>
      <c r="M15" s="748" t="s">
        <v>12</v>
      </c>
      <c r="N15" s="699"/>
      <c r="O15" s="749" t="s">
        <v>12</v>
      </c>
      <c r="P15" s="699"/>
      <c r="Q15" s="748" t="s">
        <v>12</v>
      </c>
      <c r="R15" s="699"/>
      <c r="S15" s="749" t="s">
        <v>12</v>
      </c>
      <c r="T15" s="699"/>
      <c r="U15" s="748" t="s">
        <v>12</v>
      </c>
      <c r="V15" s="699"/>
      <c r="W15" s="749" t="s">
        <v>12</v>
      </c>
      <c r="X15" s="699"/>
      <c r="Y15" s="748" t="s">
        <v>12</v>
      </c>
      <c r="Z15" s="699"/>
      <c r="AA15" s="749" t="s">
        <v>12</v>
      </c>
      <c r="AB15" s="699"/>
      <c r="AC15" s="748" t="s">
        <v>12</v>
      </c>
      <c r="AD15" s="699"/>
      <c r="AE15" s="749" t="s">
        <v>12</v>
      </c>
      <c r="AF15" s="699"/>
    </row>
    <row r="16" spans="1:32" ht="49.5" customHeight="1" x14ac:dyDescent="0.25">
      <c r="A16" s="10">
        <f t="shared" si="0"/>
        <v>4</v>
      </c>
      <c r="B16" s="750"/>
      <c r="C16" s="698"/>
      <c r="D16" s="698"/>
      <c r="E16" s="698"/>
      <c r="F16" s="698"/>
      <c r="G16" s="698"/>
      <c r="H16" s="699"/>
      <c r="I16" s="748" t="s">
        <v>12</v>
      </c>
      <c r="J16" s="699"/>
      <c r="K16" s="749" t="s">
        <v>12</v>
      </c>
      <c r="L16" s="699"/>
      <c r="M16" s="748" t="s">
        <v>12</v>
      </c>
      <c r="N16" s="699"/>
      <c r="O16" s="749" t="s">
        <v>12</v>
      </c>
      <c r="P16" s="699"/>
      <c r="Q16" s="748" t="s">
        <v>12</v>
      </c>
      <c r="R16" s="699"/>
      <c r="S16" s="749" t="s">
        <v>12</v>
      </c>
      <c r="T16" s="699"/>
      <c r="U16" s="748" t="s">
        <v>12</v>
      </c>
      <c r="V16" s="699"/>
      <c r="W16" s="749" t="s">
        <v>12</v>
      </c>
      <c r="X16" s="699"/>
      <c r="Y16" s="748" t="s">
        <v>12</v>
      </c>
      <c r="Z16" s="699"/>
      <c r="AA16" s="749" t="s">
        <v>12</v>
      </c>
      <c r="AB16" s="699"/>
      <c r="AC16" s="748" t="s">
        <v>12</v>
      </c>
      <c r="AD16" s="699"/>
      <c r="AE16" s="749" t="s">
        <v>12</v>
      </c>
      <c r="AF16" s="699"/>
    </row>
    <row r="17" spans="1:32" ht="49.5" customHeight="1" x14ac:dyDescent="0.25">
      <c r="A17" s="10">
        <f t="shared" si="0"/>
        <v>5</v>
      </c>
      <c r="B17" s="751"/>
      <c r="C17" s="698"/>
      <c r="D17" s="698"/>
      <c r="E17" s="698"/>
      <c r="F17" s="698"/>
      <c r="G17" s="698"/>
      <c r="H17" s="699"/>
      <c r="I17" s="748" t="s">
        <v>12</v>
      </c>
      <c r="J17" s="699"/>
      <c r="K17" s="749" t="s">
        <v>12</v>
      </c>
      <c r="L17" s="699"/>
      <c r="M17" s="748" t="s">
        <v>12</v>
      </c>
      <c r="N17" s="699"/>
      <c r="O17" s="749" t="s">
        <v>12</v>
      </c>
      <c r="P17" s="699"/>
      <c r="Q17" s="748" t="s">
        <v>12</v>
      </c>
      <c r="R17" s="699"/>
      <c r="S17" s="749" t="s">
        <v>12</v>
      </c>
      <c r="T17" s="699"/>
      <c r="U17" s="748" t="s">
        <v>12</v>
      </c>
      <c r="V17" s="699"/>
      <c r="W17" s="749" t="s">
        <v>12</v>
      </c>
      <c r="X17" s="699"/>
      <c r="Y17" s="748" t="s">
        <v>12</v>
      </c>
      <c r="Z17" s="699"/>
      <c r="AA17" s="749" t="s">
        <v>12</v>
      </c>
      <c r="AB17" s="699"/>
      <c r="AC17" s="748" t="s">
        <v>12</v>
      </c>
      <c r="AD17" s="699"/>
      <c r="AE17" s="749" t="s">
        <v>12</v>
      </c>
      <c r="AF17" s="699"/>
    </row>
    <row r="18" spans="1:32" ht="49.5" customHeight="1" x14ac:dyDescent="0.25">
      <c r="A18" s="10">
        <f t="shared" si="0"/>
        <v>6</v>
      </c>
      <c r="B18" s="750"/>
      <c r="C18" s="698"/>
      <c r="D18" s="698"/>
      <c r="E18" s="698"/>
      <c r="F18" s="698"/>
      <c r="G18" s="698"/>
      <c r="H18" s="699"/>
      <c r="I18" s="748" t="s">
        <v>12</v>
      </c>
      <c r="J18" s="699"/>
      <c r="K18" s="749" t="s">
        <v>12</v>
      </c>
      <c r="L18" s="699"/>
      <c r="M18" s="748" t="s">
        <v>12</v>
      </c>
      <c r="N18" s="699"/>
      <c r="O18" s="749" t="s">
        <v>12</v>
      </c>
      <c r="P18" s="699"/>
      <c r="Q18" s="748" t="s">
        <v>12</v>
      </c>
      <c r="R18" s="699"/>
      <c r="S18" s="749" t="s">
        <v>12</v>
      </c>
      <c r="T18" s="699"/>
      <c r="U18" s="748" t="s">
        <v>12</v>
      </c>
      <c r="V18" s="699"/>
      <c r="W18" s="749" t="s">
        <v>12</v>
      </c>
      <c r="X18" s="699"/>
      <c r="Y18" s="748" t="s">
        <v>12</v>
      </c>
      <c r="Z18" s="699"/>
      <c r="AA18" s="749" t="s">
        <v>12</v>
      </c>
      <c r="AB18" s="699"/>
      <c r="AC18" s="748" t="s">
        <v>12</v>
      </c>
      <c r="AD18" s="699"/>
      <c r="AE18" s="749" t="s">
        <v>12</v>
      </c>
      <c r="AF18" s="699"/>
    </row>
    <row r="19" spans="1:32" ht="49.5" customHeight="1" x14ac:dyDescent="0.25">
      <c r="A19" s="10">
        <f t="shared" si="0"/>
        <v>7</v>
      </c>
      <c r="B19" s="750"/>
      <c r="C19" s="698"/>
      <c r="D19" s="698"/>
      <c r="E19" s="698"/>
      <c r="F19" s="698"/>
      <c r="G19" s="698"/>
      <c r="H19" s="699"/>
      <c r="I19" s="748" t="s">
        <v>12</v>
      </c>
      <c r="J19" s="699"/>
      <c r="K19" s="749" t="s">
        <v>12</v>
      </c>
      <c r="L19" s="699"/>
      <c r="M19" s="748" t="s">
        <v>12</v>
      </c>
      <c r="N19" s="699"/>
      <c r="O19" s="749" t="s">
        <v>12</v>
      </c>
      <c r="P19" s="699"/>
      <c r="Q19" s="748" t="s">
        <v>12</v>
      </c>
      <c r="R19" s="699"/>
      <c r="S19" s="749" t="s">
        <v>12</v>
      </c>
      <c r="T19" s="699"/>
      <c r="U19" s="748" t="s">
        <v>12</v>
      </c>
      <c r="V19" s="699"/>
      <c r="W19" s="749" t="s">
        <v>12</v>
      </c>
      <c r="X19" s="699"/>
      <c r="Y19" s="748" t="s">
        <v>12</v>
      </c>
      <c r="Z19" s="699"/>
      <c r="AA19" s="749" t="s">
        <v>12</v>
      </c>
      <c r="AB19" s="699"/>
      <c r="AC19" s="748" t="s">
        <v>12</v>
      </c>
      <c r="AD19" s="699"/>
      <c r="AE19" s="749" t="s">
        <v>12</v>
      </c>
      <c r="AF19" s="699"/>
    </row>
    <row r="20" spans="1:32" ht="49.5" customHeight="1" x14ac:dyDescent="0.25">
      <c r="A20" s="10">
        <f t="shared" si="0"/>
        <v>8</v>
      </c>
      <c r="B20" s="750"/>
      <c r="C20" s="698"/>
      <c r="D20" s="698"/>
      <c r="E20" s="698"/>
      <c r="F20" s="698"/>
      <c r="G20" s="698"/>
      <c r="H20" s="699"/>
      <c r="I20" s="748" t="s">
        <v>12</v>
      </c>
      <c r="J20" s="699"/>
      <c r="K20" s="749" t="s">
        <v>12</v>
      </c>
      <c r="L20" s="699"/>
      <c r="M20" s="748" t="s">
        <v>12</v>
      </c>
      <c r="N20" s="699"/>
      <c r="O20" s="749" t="s">
        <v>12</v>
      </c>
      <c r="P20" s="699"/>
      <c r="Q20" s="748" t="s">
        <v>12</v>
      </c>
      <c r="R20" s="699"/>
      <c r="S20" s="749" t="s">
        <v>12</v>
      </c>
      <c r="T20" s="699"/>
      <c r="U20" s="748" t="s">
        <v>12</v>
      </c>
      <c r="V20" s="699"/>
      <c r="W20" s="749" t="s">
        <v>12</v>
      </c>
      <c r="X20" s="699"/>
      <c r="Y20" s="748" t="s">
        <v>12</v>
      </c>
      <c r="Z20" s="699"/>
      <c r="AA20" s="749" t="s">
        <v>12</v>
      </c>
      <c r="AB20" s="699"/>
      <c r="AC20" s="748" t="s">
        <v>12</v>
      </c>
      <c r="AD20" s="699"/>
      <c r="AE20" s="749" t="s">
        <v>12</v>
      </c>
      <c r="AF20" s="699"/>
    </row>
    <row r="21" spans="1:32" ht="49.5" customHeight="1" x14ac:dyDescent="0.25">
      <c r="A21" s="10">
        <f t="shared" si="0"/>
        <v>9</v>
      </c>
      <c r="B21" s="750"/>
      <c r="C21" s="698"/>
      <c r="D21" s="698"/>
      <c r="E21" s="698"/>
      <c r="F21" s="698"/>
      <c r="G21" s="698"/>
      <c r="H21" s="699"/>
      <c r="I21" s="748" t="s">
        <v>12</v>
      </c>
      <c r="J21" s="699"/>
      <c r="K21" s="749" t="s">
        <v>12</v>
      </c>
      <c r="L21" s="699"/>
      <c r="M21" s="748" t="s">
        <v>12</v>
      </c>
      <c r="N21" s="699"/>
      <c r="O21" s="749" t="s">
        <v>12</v>
      </c>
      <c r="P21" s="699"/>
      <c r="Q21" s="748" t="s">
        <v>12</v>
      </c>
      <c r="R21" s="699"/>
      <c r="S21" s="749" t="s">
        <v>12</v>
      </c>
      <c r="T21" s="699"/>
      <c r="U21" s="748" t="s">
        <v>12</v>
      </c>
      <c r="V21" s="699"/>
      <c r="W21" s="749" t="s">
        <v>12</v>
      </c>
      <c r="X21" s="699"/>
      <c r="Y21" s="748" t="s">
        <v>12</v>
      </c>
      <c r="Z21" s="699"/>
      <c r="AA21" s="749" t="s">
        <v>12</v>
      </c>
      <c r="AB21" s="699"/>
      <c r="AC21" s="748" t="s">
        <v>12</v>
      </c>
      <c r="AD21" s="699"/>
      <c r="AE21" s="749" t="s">
        <v>12</v>
      </c>
      <c r="AF21" s="699"/>
    </row>
    <row r="22" spans="1:32" ht="49.5" customHeight="1" x14ac:dyDescent="0.25">
      <c r="A22" s="10">
        <f t="shared" si="0"/>
        <v>10</v>
      </c>
      <c r="B22" s="750"/>
      <c r="C22" s="698"/>
      <c r="D22" s="698"/>
      <c r="E22" s="698"/>
      <c r="F22" s="698"/>
      <c r="G22" s="698"/>
      <c r="H22" s="699"/>
      <c r="I22" s="748" t="s">
        <v>12</v>
      </c>
      <c r="J22" s="699"/>
      <c r="K22" s="749" t="s">
        <v>12</v>
      </c>
      <c r="L22" s="699"/>
      <c r="M22" s="748" t="s">
        <v>12</v>
      </c>
      <c r="N22" s="699"/>
      <c r="O22" s="749" t="s">
        <v>12</v>
      </c>
      <c r="P22" s="699"/>
      <c r="Q22" s="748" t="s">
        <v>12</v>
      </c>
      <c r="R22" s="699"/>
      <c r="S22" s="749" t="s">
        <v>12</v>
      </c>
      <c r="T22" s="699"/>
      <c r="U22" s="748" t="s">
        <v>12</v>
      </c>
      <c r="V22" s="699"/>
      <c r="W22" s="749" t="s">
        <v>12</v>
      </c>
      <c r="X22" s="699"/>
      <c r="Y22" s="748" t="s">
        <v>12</v>
      </c>
      <c r="Z22" s="699"/>
      <c r="AA22" s="749" t="s">
        <v>12</v>
      </c>
      <c r="AB22" s="699"/>
      <c r="AC22" s="748" t="s">
        <v>12</v>
      </c>
      <c r="AD22" s="699"/>
      <c r="AE22" s="749" t="s">
        <v>12</v>
      </c>
      <c r="AF22" s="699"/>
    </row>
    <row r="23" spans="1:32" ht="49.5" customHeight="1" x14ac:dyDescent="0.25">
      <c r="A23" s="10">
        <f t="shared" si="0"/>
        <v>11</v>
      </c>
      <c r="B23" s="750"/>
      <c r="C23" s="698"/>
      <c r="D23" s="698"/>
      <c r="E23" s="698"/>
      <c r="F23" s="698"/>
      <c r="G23" s="698"/>
      <c r="H23" s="699"/>
      <c r="I23" s="748" t="s">
        <v>12</v>
      </c>
      <c r="J23" s="699"/>
      <c r="K23" s="749" t="s">
        <v>12</v>
      </c>
      <c r="L23" s="699"/>
      <c r="M23" s="748" t="s">
        <v>12</v>
      </c>
      <c r="N23" s="699"/>
      <c r="O23" s="749" t="s">
        <v>12</v>
      </c>
      <c r="P23" s="699"/>
      <c r="Q23" s="748" t="s">
        <v>12</v>
      </c>
      <c r="R23" s="699"/>
      <c r="S23" s="749" t="s">
        <v>12</v>
      </c>
      <c r="T23" s="699"/>
      <c r="U23" s="748" t="s">
        <v>12</v>
      </c>
      <c r="V23" s="699"/>
      <c r="W23" s="749" t="s">
        <v>12</v>
      </c>
      <c r="X23" s="699"/>
      <c r="Y23" s="748" t="s">
        <v>12</v>
      </c>
      <c r="Z23" s="699"/>
      <c r="AA23" s="749" t="s">
        <v>12</v>
      </c>
      <c r="AB23" s="699"/>
      <c r="AC23" s="748" t="s">
        <v>12</v>
      </c>
      <c r="AD23" s="699"/>
      <c r="AE23" s="749" t="s">
        <v>12</v>
      </c>
      <c r="AF23" s="699"/>
    </row>
    <row r="24" spans="1:32" ht="49.5" customHeight="1" x14ac:dyDescent="0.25">
      <c r="A24" s="10">
        <f t="shared" si="0"/>
        <v>12</v>
      </c>
      <c r="B24" s="750"/>
      <c r="C24" s="698"/>
      <c r="D24" s="698"/>
      <c r="E24" s="698"/>
      <c r="F24" s="698"/>
      <c r="G24" s="698"/>
      <c r="H24" s="699"/>
      <c r="I24" s="748" t="s">
        <v>12</v>
      </c>
      <c r="J24" s="699"/>
      <c r="K24" s="749" t="s">
        <v>12</v>
      </c>
      <c r="L24" s="699"/>
      <c r="M24" s="748" t="s">
        <v>12</v>
      </c>
      <c r="N24" s="699"/>
      <c r="O24" s="749" t="s">
        <v>12</v>
      </c>
      <c r="P24" s="699"/>
      <c r="Q24" s="748" t="s">
        <v>12</v>
      </c>
      <c r="R24" s="699"/>
      <c r="S24" s="749" t="s">
        <v>12</v>
      </c>
      <c r="T24" s="699"/>
      <c r="U24" s="748" t="s">
        <v>12</v>
      </c>
      <c r="V24" s="699"/>
      <c r="W24" s="749" t="s">
        <v>12</v>
      </c>
      <c r="X24" s="699"/>
      <c r="Y24" s="748" t="s">
        <v>12</v>
      </c>
      <c r="Z24" s="699"/>
      <c r="AA24" s="749" t="s">
        <v>12</v>
      </c>
      <c r="AB24" s="699"/>
      <c r="AC24" s="748" t="s">
        <v>12</v>
      </c>
      <c r="AD24" s="699"/>
      <c r="AE24" s="749" t="s">
        <v>12</v>
      </c>
      <c r="AF24" s="699"/>
    </row>
    <row r="25" spans="1:32" ht="49.5" customHeight="1" x14ac:dyDescent="0.25">
      <c r="A25" s="10">
        <f t="shared" si="0"/>
        <v>13</v>
      </c>
      <c r="B25" s="750"/>
      <c r="C25" s="698"/>
      <c r="D25" s="698"/>
      <c r="E25" s="698"/>
      <c r="F25" s="698"/>
      <c r="G25" s="698"/>
      <c r="H25" s="699"/>
      <c r="I25" s="748" t="s">
        <v>12</v>
      </c>
      <c r="J25" s="699"/>
      <c r="K25" s="749" t="s">
        <v>12</v>
      </c>
      <c r="L25" s="699"/>
      <c r="M25" s="748" t="s">
        <v>12</v>
      </c>
      <c r="N25" s="699"/>
      <c r="O25" s="749" t="s">
        <v>12</v>
      </c>
      <c r="P25" s="699"/>
      <c r="Q25" s="748" t="s">
        <v>12</v>
      </c>
      <c r="R25" s="699"/>
      <c r="S25" s="749" t="s">
        <v>12</v>
      </c>
      <c r="T25" s="699"/>
      <c r="U25" s="748" t="s">
        <v>12</v>
      </c>
      <c r="V25" s="699"/>
      <c r="W25" s="749" t="s">
        <v>12</v>
      </c>
      <c r="X25" s="699"/>
      <c r="Y25" s="748" t="s">
        <v>12</v>
      </c>
      <c r="Z25" s="699"/>
      <c r="AA25" s="749" t="s">
        <v>12</v>
      </c>
      <c r="AB25" s="699"/>
      <c r="AC25" s="748" t="s">
        <v>12</v>
      </c>
      <c r="AD25" s="699"/>
      <c r="AE25" s="749" t="s">
        <v>12</v>
      </c>
      <c r="AF25" s="699"/>
    </row>
    <row r="26" spans="1:32" ht="49.5" customHeight="1" x14ac:dyDescent="0.25">
      <c r="A26" s="10">
        <f t="shared" si="0"/>
        <v>14</v>
      </c>
      <c r="B26" s="774"/>
      <c r="C26" s="698"/>
      <c r="D26" s="698"/>
      <c r="E26" s="698"/>
      <c r="F26" s="698"/>
      <c r="G26" s="698"/>
      <c r="H26" s="699"/>
      <c r="I26" s="748" t="s">
        <v>12</v>
      </c>
      <c r="J26" s="699"/>
      <c r="K26" s="749" t="s">
        <v>12</v>
      </c>
      <c r="L26" s="699"/>
      <c r="M26" s="748" t="s">
        <v>12</v>
      </c>
      <c r="N26" s="699"/>
      <c r="O26" s="749" t="s">
        <v>12</v>
      </c>
      <c r="P26" s="699"/>
      <c r="Q26" s="748" t="s">
        <v>12</v>
      </c>
      <c r="R26" s="699"/>
      <c r="S26" s="749" t="s">
        <v>12</v>
      </c>
      <c r="T26" s="699"/>
      <c r="U26" s="748" t="s">
        <v>12</v>
      </c>
      <c r="V26" s="699"/>
      <c r="W26" s="749" t="s">
        <v>12</v>
      </c>
      <c r="X26" s="699"/>
      <c r="Y26" s="748" t="s">
        <v>12</v>
      </c>
      <c r="Z26" s="699"/>
      <c r="AA26" s="749" t="s">
        <v>12</v>
      </c>
      <c r="AB26" s="699"/>
      <c r="AC26" s="748" t="s">
        <v>12</v>
      </c>
      <c r="AD26" s="699"/>
      <c r="AE26" s="749" t="s">
        <v>12</v>
      </c>
      <c r="AF26" s="699"/>
    </row>
    <row r="27" spans="1:32" ht="49.5" customHeight="1" x14ac:dyDescent="0.25">
      <c r="A27" s="10">
        <f t="shared" si="0"/>
        <v>15</v>
      </c>
      <c r="B27" s="774"/>
      <c r="C27" s="698"/>
      <c r="D27" s="698"/>
      <c r="E27" s="698"/>
      <c r="F27" s="698"/>
      <c r="G27" s="698"/>
      <c r="H27" s="699"/>
      <c r="I27" s="748" t="s">
        <v>12</v>
      </c>
      <c r="J27" s="699"/>
      <c r="K27" s="749" t="s">
        <v>12</v>
      </c>
      <c r="L27" s="699"/>
      <c r="M27" s="748" t="s">
        <v>12</v>
      </c>
      <c r="N27" s="699"/>
      <c r="O27" s="749" t="s">
        <v>12</v>
      </c>
      <c r="P27" s="699"/>
      <c r="Q27" s="748" t="s">
        <v>12</v>
      </c>
      <c r="R27" s="699"/>
      <c r="S27" s="749" t="s">
        <v>12</v>
      </c>
      <c r="T27" s="699"/>
      <c r="U27" s="748" t="s">
        <v>12</v>
      </c>
      <c r="V27" s="699"/>
      <c r="W27" s="749" t="s">
        <v>12</v>
      </c>
      <c r="X27" s="699"/>
      <c r="Y27" s="748" t="s">
        <v>12</v>
      </c>
      <c r="Z27" s="699"/>
      <c r="AA27" s="749" t="s">
        <v>12</v>
      </c>
      <c r="AB27" s="699"/>
      <c r="AC27" s="748" t="s">
        <v>12</v>
      </c>
      <c r="AD27" s="699"/>
      <c r="AE27" s="749" t="s">
        <v>12</v>
      </c>
      <c r="AF27" s="699"/>
    </row>
    <row r="28" spans="1:32" ht="49.5" customHeight="1" x14ac:dyDescent="0.25">
      <c r="A28" s="10">
        <f t="shared" si="0"/>
        <v>16</v>
      </c>
      <c r="B28" s="750"/>
      <c r="C28" s="698"/>
      <c r="D28" s="698"/>
      <c r="E28" s="698"/>
      <c r="F28" s="698"/>
      <c r="G28" s="698"/>
      <c r="H28" s="699"/>
      <c r="I28" s="748" t="s">
        <v>12</v>
      </c>
      <c r="J28" s="699"/>
      <c r="K28" s="749" t="s">
        <v>12</v>
      </c>
      <c r="L28" s="699"/>
      <c r="M28" s="748" t="s">
        <v>12</v>
      </c>
      <c r="N28" s="699"/>
      <c r="O28" s="749" t="s">
        <v>12</v>
      </c>
      <c r="P28" s="699"/>
      <c r="Q28" s="748" t="s">
        <v>12</v>
      </c>
      <c r="R28" s="699"/>
      <c r="S28" s="749" t="s">
        <v>12</v>
      </c>
      <c r="T28" s="699"/>
      <c r="U28" s="748" t="s">
        <v>12</v>
      </c>
      <c r="V28" s="699"/>
      <c r="W28" s="749" t="s">
        <v>12</v>
      </c>
      <c r="X28" s="699"/>
      <c r="Y28" s="748" t="s">
        <v>12</v>
      </c>
      <c r="Z28" s="699"/>
      <c r="AA28" s="749" t="s">
        <v>12</v>
      </c>
      <c r="AB28" s="699"/>
      <c r="AC28" s="748" t="s">
        <v>12</v>
      </c>
      <c r="AD28" s="699"/>
      <c r="AE28" s="749" t="s">
        <v>12</v>
      </c>
      <c r="AF28" s="699"/>
    </row>
    <row r="29" spans="1:32" ht="15.75" customHeight="1" x14ac:dyDescent="0.25"/>
    <row r="30" spans="1:32" ht="15.75" customHeight="1" x14ac:dyDescent="0.25"/>
    <row r="31" spans="1:32" ht="15.75" customHeight="1" x14ac:dyDescent="0.25"/>
    <row r="32" spans="1:32" ht="15.75" customHeight="1" x14ac:dyDescent="0.25">
      <c r="B32" s="750" t="s">
        <v>47</v>
      </c>
      <c r="C32" s="698"/>
      <c r="D32" s="698"/>
      <c r="E32" s="698"/>
      <c r="F32" s="698"/>
      <c r="G32" s="698"/>
      <c r="H32" s="699"/>
    </row>
    <row r="33" spans="2:8" ht="15.75" customHeight="1" x14ac:dyDescent="0.25">
      <c r="B33" s="750" t="s">
        <v>48</v>
      </c>
      <c r="C33" s="698"/>
      <c r="D33" s="698"/>
      <c r="E33" s="698"/>
      <c r="F33" s="698"/>
      <c r="G33" s="698"/>
      <c r="H33" s="699"/>
    </row>
    <row r="34" spans="2:8" ht="15.75" customHeight="1" x14ac:dyDescent="0.25">
      <c r="B34" s="750" t="s">
        <v>49</v>
      </c>
      <c r="C34" s="698"/>
      <c r="D34" s="698"/>
      <c r="E34" s="698"/>
      <c r="F34" s="698"/>
      <c r="G34" s="698"/>
      <c r="H34" s="699"/>
    </row>
    <row r="35" spans="2:8" ht="15.75" customHeight="1" x14ac:dyDescent="0.25">
      <c r="B35" s="751" t="s">
        <v>50</v>
      </c>
      <c r="C35" s="698"/>
      <c r="D35" s="698"/>
      <c r="E35" s="698"/>
      <c r="F35" s="698"/>
      <c r="G35" s="698"/>
      <c r="H35" s="699"/>
    </row>
    <row r="36" spans="2:8" ht="15.75" customHeight="1" x14ac:dyDescent="0.25">
      <c r="B36" s="750" t="s">
        <v>51</v>
      </c>
      <c r="C36" s="698"/>
      <c r="D36" s="698"/>
      <c r="E36" s="698"/>
      <c r="F36" s="698"/>
      <c r="G36" s="698"/>
      <c r="H36" s="699"/>
    </row>
    <row r="37" spans="2:8" ht="15.75" customHeight="1" x14ac:dyDescent="0.25">
      <c r="B37" s="750" t="s">
        <v>52</v>
      </c>
      <c r="C37" s="698"/>
      <c r="D37" s="698"/>
      <c r="E37" s="698"/>
      <c r="F37" s="698"/>
      <c r="G37" s="698"/>
      <c r="H37" s="699"/>
    </row>
    <row r="38" spans="2:8" ht="15.75" customHeight="1" x14ac:dyDescent="0.25">
      <c r="B38" s="750" t="s">
        <v>53</v>
      </c>
      <c r="C38" s="698"/>
      <c r="D38" s="698"/>
      <c r="E38" s="698"/>
      <c r="F38" s="698"/>
      <c r="G38" s="698"/>
      <c r="H38" s="699"/>
    </row>
    <row r="39" spans="2:8" ht="15.75" customHeight="1" x14ac:dyDescent="0.25">
      <c r="B39" s="750" t="s">
        <v>54</v>
      </c>
      <c r="C39" s="698"/>
      <c r="D39" s="698"/>
      <c r="E39" s="698"/>
      <c r="F39" s="698"/>
      <c r="G39" s="698"/>
      <c r="H39" s="699"/>
    </row>
    <row r="40" spans="2:8" ht="15.75" customHeight="1" x14ac:dyDescent="0.25">
      <c r="B40" s="750" t="s">
        <v>55</v>
      </c>
      <c r="C40" s="698"/>
      <c r="D40" s="698"/>
      <c r="E40" s="698"/>
      <c r="F40" s="698"/>
      <c r="G40" s="698"/>
      <c r="H40" s="699"/>
    </row>
    <row r="41" spans="2:8" ht="15.75" customHeight="1" x14ac:dyDescent="0.25">
      <c r="B41" s="750" t="s">
        <v>56</v>
      </c>
      <c r="C41" s="698"/>
      <c r="D41" s="698"/>
      <c r="E41" s="698"/>
      <c r="F41" s="698"/>
      <c r="G41" s="698"/>
      <c r="H41" s="699"/>
    </row>
    <row r="42" spans="2:8" ht="15.75" customHeight="1" x14ac:dyDescent="0.25">
      <c r="B42" s="750" t="s">
        <v>57</v>
      </c>
      <c r="C42" s="698"/>
      <c r="D42" s="698"/>
      <c r="E42" s="698"/>
      <c r="F42" s="698"/>
      <c r="G42" s="698"/>
      <c r="H42" s="699"/>
    </row>
    <row r="43" spans="2:8" ht="15.75" customHeight="1" x14ac:dyDescent="0.25">
      <c r="B43" s="750" t="s">
        <v>58</v>
      </c>
      <c r="C43" s="698"/>
      <c r="D43" s="698"/>
      <c r="E43" s="698"/>
      <c r="F43" s="698"/>
      <c r="G43" s="698"/>
      <c r="H43" s="699"/>
    </row>
    <row r="44" spans="2:8" ht="15.75" customHeight="1" x14ac:dyDescent="0.25"/>
    <row r="45" spans="2:8" ht="15.75" customHeight="1" x14ac:dyDescent="0.25"/>
    <row r="46" spans="2:8" ht="15.75" customHeight="1" x14ac:dyDescent="0.25"/>
    <row r="47" spans="2:8" ht="15.75" customHeight="1" x14ac:dyDescent="0.25"/>
    <row r="48" spans="2: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70">
    <mergeCell ref="U27:V27"/>
    <mergeCell ref="W27:X27"/>
    <mergeCell ref="Y27:Z27"/>
    <mergeCell ref="AA27:AB27"/>
    <mergeCell ref="AC27:AD27"/>
    <mergeCell ref="AE27:AF27"/>
    <mergeCell ref="B27:H27"/>
    <mergeCell ref="I27:J27"/>
    <mergeCell ref="K27:L27"/>
    <mergeCell ref="M27:N27"/>
    <mergeCell ref="O27:P27"/>
    <mergeCell ref="Q27:R27"/>
    <mergeCell ref="S27:T27"/>
    <mergeCell ref="U26:V26"/>
    <mergeCell ref="W26:X26"/>
    <mergeCell ref="Y26:Z26"/>
    <mergeCell ref="AA26:AB26"/>
    <mergeCell ref="AC26:AD26"/>
    <mergeCell ref="AE26:AF26"/>
    <mergeCell ref="B26:H26"/>
    <mergeCell ref="I26:J26"/>
    <mergeCell ref="K26:L26"/>
    <mergeCell ref="M26:N26"/>
    <mergeCell ref="O26:P26"/>
    <mergeCell ref="Q26:R26"/>
    <mergeCell ref="S26:T26"/>
    <mergeCell ref="U25:V25"/>
    <mergeCell ref="W25:X25"/>
    <mergeCell ref="Y25:Z25"/>
    <mergeCell ref="AA25:AB25"/>
    <mergeCell ref="AC25:AD25"/>
    <mergeCell ref="AE25:AF25"/>
    <mergeCell ref="B25:H25"/>
    <mergeCell ref="I25:J25"/>
    <mergeCell ref="K25:L25"/>
    <mergeCell ref="M25:N25"/>
    <mergeCell ref="O25:P25"/>
    <mergeCell ref="Q25:R25"/>
    <mergeCell ref="S25:T25"/>
    <mergeCell ref="U24:V24"/>
    <mergeCell ref="W24:X24"/>
    <mergeCell ref="Y24:Z24"/>
    <mergeCell ref="AA24:AB24"/>
    <mergeCell ref="AC24:AD24"/>
    <mergeCell ref="AE24:AF24"/>
    <mergeCell ref="B24:H24"/>
    <mergeCell ref="I24:J24"/>
    <mergeCell ref="K24:L24"/>
    <mergeCell ref="M24:N24"/>
    <mergeCell ref="O24:P24"/>
    <mergeCell ref="Q24:R24"/>
    <mergeCell ref="S24:T24"/>
    <mergeCell ref="U23:V23"/>
    <mergeCell ref="W23:X23"/>
    <mergeCell ref="Y23:Z23"/>
    <mergeCell ref="AA23:AB23"/>
    <mergeCell ref="AC23:AD23"/>
    <mergeCell ref="AE23:AF23"/>
    <mergeCell ref="B23:H23"/>
    <mergeCell ref="I23:J23"/>
    <mergeCell ref="K23:L23"/>
    <mergeCell ref="M23:N23"/>
    <mergeCell ref="O23:P23"/>
    <mergeCell ref="Q23:R23"/>
    <mergeCell ref="S23:T23"/>
    <mergeCell ref="W22:X22"/>
    <mergeCell ref="Y22:Z22"/>
    <mergeCell ref="AA22:AB22"/>
    <mergeCell ref="AC22:AD22"/>
    <mergeCell ref="AE22:AF22"/>
    <mergeCell ref="B22:H22"/>
    <mergeCell ref="I22:J22"/>
    <mergeCell ref="K22:L22"/>
    <mergeCell ref="M22:N22"/>
    <mergeCell ref="O22:P22"/>
    <mergeCell ref="Q22:R22"/>
    <mergeCell ref="S22:T22"/>
    <mergeCell ref="B39:H39"/>
    <mergeCell ref="B40:H40"/>
    <mergeCell ref="B41:H41"/>
    <mergeCell ref="B42:H42"/>
    <mergeCell ref="B43:H43"/>
    <mergeCell ref="B32:H32"/>
    <mergeCell ref="B33:H33"/>
    <mergeCell ref="B34:H34"/>
    <mergeCell ref="B35:H35"/>
    <mergeCell ref="B36:H36"/>
    <mergeCell ref="B37:H37"/>
    <mergeCell ref="B38:H38"/>
    <mergeCell ref="A10:D10"/>
    <mergeCell ref="E10:G10"/>
    <mergeCell ref="I10:L10"/>
    <mergeCell ref="M10:O10"/>
    <mergeCell ref="A11:O11"/>
    <mergeCell ref="V11:Y11"/>
    <mergeCell ref="B12:H12"/>
    <mergeCell ref="U13:V13"/>
    <mergeCell ref="W13:X13"/>
    <mergeCell ref="Y13:Z13"/>
    <mergeCell ref="B13:H13"/>
    <mergeCell ref="I13:J13"/>
    <mergeCell ref="K13:L13"/>
    <mergeCell ref="M13:N13"/>
    <mergeCell ref="O13:P13"/>
    <mergeCell ref="Q13:R13"/>
    <mergeCell ref="S13:T13"/>
    <mergeCell ref="Y12:Z12"/>
    <mergeCell ref="B28:H28"/>
    <mergeCell ref="I28:J28"/>
    <mergeCell ref="K28:L28"/>
    <mergeCell ref="M28:N28"/>
    <mergeCell ref="O28:P28"/>
    <mergeCell ref="Q28:R28"/>
    <mergeCell ref="S28:T28"/>
    <mergeCell ref="M12:N12"/>
    <mergeCell ref="O12:P12"/>
    <mergeCell ref="Q12:R12"/>
    <mergeCell ref="S12:T12"/>
    <mergeCell ref="B21:H21"/>
    <mergeCell ref="I21:J21"/>
    <mergeCell ref="K21:L21"/>
    <mergeCell ref="M21:N21"/>
    <mergeCell ref="O21:P21"/>
    <mergeCell ref="Q21:R21"/>
    <mergeCell ref="S21:T21"/>
    <mergeCell ref="I12:J12"/>
    <mergeCell ref="K12:L12"/>
    <mergeCell ref="AA12:AB12"/>
    <mergeCell ref="AC12:AD12"/>
    <mergeCell ref="AE12:AF12"/>
    <mergeCell ref="U28:V28"/>
    <mergeCell ref="W28:X28"/>
    <mergeCell ref="Y28:Z28"/>
    <mergeCell ref="AA28:AB28"/>
    <mergeCell ref="AC28:AD28"/>
    <mergeCell ref="AE28:AF28"/>
    <mergeCell ref="U12:V12"/>
    <mergeCell ref="W12:X12"/>
    <mergeCell ref="AA13:AB13"/>
    <mergeCell ref="AC13:AD13"/>
    <mergeCell ref="AE13:AF13"/>
    <mergeCell ref="U21:V21"/>
    <mergeCell ref="W21:X21"/>
    <mergeCell ref="Y21:Z21"/>
    <mergeCell ref="AA21:AB21"/>
    <mergeCell ref="AC21:AD21"/>
    <mergeCell ref="AE21:AF21"/>
    <mergeCell ref="U22:V22"/>
    <mergeCell ref="U20:V20"/>
    <mergeCell ref="W20:X20"/>
    <mergeCell ref="Y20:Z20"/>
    <mergeCell ref="I9:L9"/>
    <mergeCell ref="M9:O9"/>
    <mergeCell ref="A6:D6"/>
    <mergeCell ref="A7:D7"/>
    <mergeCell ref="E7:H7"/>
    <mergeCell ref="I7:L7"/>
    <mergeCell ref="M7:O7"/>
    <mergeCell ref="A8:D9"/>
    <mergeCell ref="E8:H9"/>
    <mergeCell ref="A2:O2"/>
    <mergeCell ref="A3:O3"/>
    <mergeCell ref="A4:O4"/>
    <mergeCell ref="A5:O5"/>
    <mergeCell ref="E6:H6"/>
    <mergeCell ref="I6:L6"/>
    <mergeCell ref="M6:O6"/>
    <mergeCell ref="I8:L8"/>
    <mergeCell ref="M8:O8"/>
    <mergeCell ref="U1:V1"/>
    <mergeCell ref="W1:X1"/>
    <mergeCell ref="Y1:Z1"/>
    <mergeCell ref="AA1:AB1"/>
    <mergeCell ref="AC1:AD1"/>
    <mergeCell ref="AE1:AF1"/>
    <mergeCell ref="B1:H1"/>
    <mergeCell ref="I1:J1"/>
    <mergeCell ref="K1:L1"/>
    <mergeCell ref="M1:N1"/>
    <mergeCell ref="O1:P1"/>
    <mergeCell ref="Q1:R1"/>
    <mergeCell ref="S1:T1"/>
    <mergeCell ref="AA20:AB20"/>
    <mergeCell ref="AC20:AD20"/>
    <mergeCell ref="AE20:AF20"/>
    <mergeCell ref="B20:H20"/>
    <mergeCell ref="I20:J20"/>
    <mergeCell ref="K20:L20"/>
    <mergeCell ref="M20:N20"/>
    <mergeCell ref="O20:P20"/>
    <mergeCell ref="Q20:R20"/>
    <mergeCell ref="S20:T20"/>
    <mergeCell ref="U19:V19"/>
    <mergeCell ref="W19:X19"/>
    <mergeCell ref="Y19:Z19"/>
    <mergeCell ref="AA19:AB19"/>
    <mergeCell ref="AC19:AD19"/>
    <mergeCell ref="AE19:AF19"/>
    <mergeCell ref="B19:H19"/>
    <mergeCell ref="I19:J19"/>
    <mergeCell ref="K19:L19"/>
    <mergeCell ref="M19:N19"/>
    <mergeCell ref="O19:P19"/>
    <mergeCell ref="Q19:R19"/>
    <mergeCell ref="S19:T19"/>
    <mergeCell ref="U18:V18"/>
    <mergeCell ref="W18:X18"/>
    <mergeCell ref="Y18:Z18"/>
    <mergeCell ref="AA18:AB18"/>
    <mergeCell ref="AC18:AD18"/>
    <mergeCell ref="AE18:AF18"/>
    <mergeCell ref="B18:H18"/>
    <mergeCell ref="I18:J18"/>
    <mergeCell ref="K18:L18"/>
    <mergeCell ref="M18:N18"/>
    <mergeCell ref="O18:P18"/>
    <mergeCell ref="Q18:R18"/>
    <mergeCell ref="S18:T18"/>
    <mergeCell ref="U17:V17"/>
    <mergeCell ref="W17:X17"/>
    <mergeCell ref="Y17:Z17"/>
    <mergeCell ref="AA17:AB17"/>
    <mergeCell ref="AC17:AD17"/>
    <mergeCell ref="AE17:AF17"/>
    <mergeCell ref="B17:H17"/>
    <mergeCell ref="I17:J17"/>
    <mergeCell ref="K17:L17"/>
    <mergeCell ref="M17:N17"/>
    <mergeCell ref="O17:P17"/>
    <mergeCell ref="Q17:R17"/>
    <mergeCell ref="S17:T17"/>
    <mergeCell ref="U16:V16"/>
    <mergeCell ref="W16:X16"/>
    <mergeCell ref="Y16:Z16"/>
    <mergeCell ref="AA16:AB16"/>
    <mergeCell ref="AC16:AD16"/>
    <mergeCell ref="AE16:AF16"/>
    <mergeCell ref="B16:H16"/>
    <mergeCell ref="I16:J16"/>
    <mergeCell ref="K16:L16"/>
    <mergeCell ref="M16:N16"/>
    <mergeCell ref="O16:P16"/>
    <mergeCell ref="Q16:R16"/>
    <mergeCell ref="S16:T16"/>
    <mergeCell ref="U15:V15"/>
    <mergeCell ref="W15:X15"/>
    <mergeCell ref="Y15:Z15"/>
    <mergeCell ref="AA15:AB15"/>
    <mergeCell ref="AC15:AD15"/>
    <mergeCell ref="AE15:AF15"/>
    <mergeCell ref="B15:H15"/>
    <mergeCell ref="I15:J15"/>
    <mergeCell ref="K15:L15"/>
    <mergeCell ref="M15:N15"/>
    <mergeCell ref="O15:P15"/>
    <mergeCell ref="Q15:R15"/>
    <mergeCell ref="S15:T15"/>
    <mergeCell ref="U14:V14"/>
    <mergeCell ref="W14:X14"/>
    <mergeCell ref="Y14:Z14"/>
    <mergeCell ref="AA14:AB14"/>
    <mergeCell ref="AC14:AD14"/>
    <mergeCell ref="AE14:AF14"/>
    <mergeCell ref="B14:H14"/>
    <mergeCell ref="I14:J14"/>
    <mergeCell ref="K14:L14"/>
    <mergeCell ref="M14:N14"/>
    <mergeCell ref="O14:P14"/>
    <mergeCell ref="Q14:R14"/>
    <mergeCell ref="S14:T14"/>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'Pick List '!$A$4:$A$15</xm:f>
          </x14:formula1>
          <xm:sqref>E10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P1000"/>
  <sheetViews>
    <sheetView workbookViewId="0"/>
  </sheetViews>
  <sheetFormatPr defaultColWidth="14.42578125" defaultRowHeight="15" customHeight="1" x14ac:dyDescent="0.25"/>
  <cols>
    <col min="1" max="1" width="4.7109375" customWidth="1"/>
    <col min="2" max="2" width="11" customWidth="1"/>
    <col min="3" max="3" width="17" customWidth="1"/>
    <col min="4" max="4" width="18.42578125" customWidth="1"/>
    <col min="5" max="5" width="16.140625" customWidth="1"/>
    <col min="6" max="6" width="16.42578125" customWidth="1"/>
    <col min="7" max="7" width="18.140625" customWidth="1"/>
    <col min="8" max="8" width="14.140625" customWidth="1"/>
    <col min="9" max="9" width="13.28515625" customWidth="1"/>
    <col min="10" max="10" width="12.140625" customWidth="1"/>
    <col min="11" max="16" width="5.7109375" customWidth="1"/>
    <col min="17" max="26" width="8.7109375" customWidth="1"/>
  </cols>
  <sheetData>
    <row r="1" spans="1:16" ht="69.75" customHeight="1" x14ac:dyDescent="0.25">
      <c r="A1" s="573" t="s">
        <v>27</v>
      </c>
      <c r="B1" s="907" t="s">
        <v>585</v>
      </c>
      <c r="C1" s="698"/>
      <c r="D1" s="698"/>
      <c r="E1" s="699"/>
      <c r="F1" s="574"/>
      <c r="G1" s="574"/>
      <c r="H1" s="908" t="s">
        <v>586</v>
      </c>
      <c r="I1" s="705"/>
      <c r="J1" s="705"/>
      <c r="K1" s="705"/>
      <c r="L1" s="705"/>
      <c r="M1" s="705"/>
      <c r="N1" s="705"/>
      <c r="O1" s="705"/>
      <c r="P1" s="833"/>
    </row>
    <row r="2" spans="1:16" ht="19.5" customHeight="1" x14ac:dyDescent="0.25">
      <c r="A2" s="909" t="str">
        <f>'BASE GRANTEE INFO &amp; UPDATES'!A1</f>
        <v>WV Bureau For Behavioral Health - Harm Reduction 2025</v>
      </c>
      <c r="B2" s="705"/>
      <c r="C2" s="705"/>
      <c r="D2" s="705"/>
      <c r="E2" s="705"/>
      <c r="F2" s="705"/>
      <c r="G2" s="705"/>
      <c r="H2" s="705"/>
      <c r="I2" s="705"/>
      <c r="J2" s="705"/>
      <c r="K2" s="705"/>
      <c r="L2" s="705"/>
      <c r="M2" s="705"/>
      <c r="N2" s="705"/>
      <c r="O2" s="705"/>
      <c r="P2" s="833"/>
    </row>
    <row r="3" spans="1:16" ht="19.5" customHeight="1" x14ac:dyDescent="0.25">
      <c r="A3" s="910">
        <f>'BASE GRANTEE INFO &amp; UPDATES'!A2</f>
        <v>0</v>
      </c>
      <c r="B3" s="708"/>
      <c r="C3" s="708"/>
      <c r="D3" s="708"/>
      <c r="E3" s="708"/>
      <c r="F3" s="708"/>
      <c r="G3" s="708"/>
      <c r="H3" s="708"/>
      <c r="I3" s="708"/>
      <c r="J3" s="708"/>
      <c r="K3" s="708"/>
      <c r="L3" s="708"/>
      <c r="M3" s="708"/>
      <c r="N3" s="708"/>
      <c r="O3" s="708"/>
      <c r="P3" s="709"/>
    </row>
    <row r="4" spans="1:16" ht="19.5" customHeight="1" x14ac:dyDescent="0.25">
      <c r="A4" s="911" t="str">
        <f>'BASE GRANTEE INFO &amp; UPDATES'!A3</f>
        <v xml:space="preserve">Program reports need to be submitted electronically, via e-mail to BBHReporting@wv.gov  within 25 calendar days of the end of each month </v>
      </c>
      <c r="B4" s="708"/>
      <c r="C4" s="708"/>
      <c r="D4" s="708"/>
      <c r="E4" s="708"/>
      <c r="F4" s="708"/>
      <c r="G4" s="708"/>
      <c r="H4" s="708"/>
      <c r="I4" s="708"/>
      <c r="J4" s="708"/>
      <c r="K4" s="708"/>
      <c r="L4" s="708"/>
      <c r="M4" s="708"/>
      <c r="N4" s="708"/>
      <c r="O4" s="708"/>
      <c r="P4" s="709"/>
    </row>
    <row r="5" spans="1:16" ht="20.25" customHeight="1" x14ac:dyDescent="0.25">
      <c r="A5" s="912" t="s">
        <v>587</v>
      </c>
      <c r="B5" s="698"/>
      <c r="C5" s="698"/>
      <c r="D5" s="698"/>
      <c r="E5" s="698"/>
      <c r="F5" s="698"/>
      <c r="G5" s="698"/>
      <c r="H5" s="698"/>
      <c r="I5" s="698"/>
      <c r="J5" s="698"/>
      <c r="K5" s="698"/>
      <c r="L5" s="698"/>
      <c r="M5" s="698"/>
      <c r="N5" s="698"/>
      <c r="O5" s="698"/>
      <c r="P5" s="699"/>
    </row>
    <row r="6" spans="1:16" ht="19.5" customHeight="1" x14ac:dyDescent="0.25">
      <c r="A6" s="913" t="s">
        <v>588</v>
      </c>
      <c r="B6" s="698"/>
      <c r="C6" s="698"/>
      <c r="D6" s="699"/>
      <c r="E6" s="872" t="str">
        <f>'BASE GRANTEE INFO &amp; UPDATES'!E5</f>
        <v>Harm Reduction Program</v>
      </c>
      <c r="F6" s="698"/>
      <c r="G6" s="699"/>
      <c r="H6" s="916" t="s">
        <v>0</v>
      </c>
      <c r="I6" s="699"/>
      <c r="J6" s="872">
        <f>'BASE GRANTEE INFO &amp; UPDATES'!M5</f>
        <v>0</v>
      </c>
      <c r="K6" s="698"/>
      <c r="L6" s="698"/>
      <c r="M6" s="698"/>
      <c r="N6" s="698"/>
      <c r="O6" s="698"/>
      <c r="P6" s="699"/>
    </row>
    <row r="7" spans="1:16" x14ac:dyDescent="0.25">
      <c r="A7" s="915" t="s">
        <v>589</v>
      </c>
      <c r="B7" s="698"/>
      <c r="C7" s="698"/>
      <c r="D7" s="699"/>
      <c r="E7" s="875">
        <f>'BASE GRANTEE INFO &amp; UPDATES'!E6</f>
        <v>0</v>
      </c>
      <c r="F7" s="698"/>
      <c r="G7" s="699"/>
      <c r="H7" s="914" t="s">
        <v>547</v>
      </c>
      <c r="I7" s="699"/>
      <c r="J7" s="878">
        <f>'BASE GRANTEE INFO &amp; UPDATES'!M6</f>
        <v>0</v>
      </c>
      <c r="K7" s="698"/>
      <c r="L7" s="698"/>
      <c r="M7" s="698"/>
      <c r="N7" s="698"/>
      <c r="O7" s="698"/>
      <c r="P7" s="699"/>
    </row>
    <row r="8" spans="1:16" ht="15" customHeight="1" x14ac:dyDescent="0.25">
      <c r="A8" s="917" t="s">
        <v>548</v>
      </c>
      <c r="B8" s="766"/>
      <c r="C8" s="766"/>
      <c r="D8" s="767"/>
      <c r="E8" s="880">
        <f>'BASE GRANTEE INFO &amp; UPDATES'!E7</f>
        <v>0</v>
      </c>
      <c r="F8" s="766"/>
      <c r="G8" s="767"/>
      <c r="H8" s="915" t="s">
        <v>549</v>
      </c>
      <c r="I8" s="699"/>
      <c r="J8" s="875">
        <f>'BASE GRANTEE INFO &amp; UPDATES'!M7</f>
        <v>0</v>
      </c>
      <c r="K8" s="698"/>
      <c r="L8" s="698"/>
      <c r="M8" s="698"/>
      <c r="N8" s="698"/>
      <c r="O8" s="698"/>
      <c r="P8" s="699"/>
    </row>
    <row r="9" spans="1:16" x14ac:dyDescent="0.25">
      <c r="A9" s="768"/>
      <c r="B9" s="769"/>
      <c r="C9" s="769"/>
      <c r="D9" s="770"/>
      <c r="E9" s="768"/>
      <c r="F9" s="769"/>
      <c r="G9" s="770"/>
      <c r="H9" s="915" t="s">
        <v>550</v>
      </c>
      <c r="I9" s="699"/>
      <c r="J9" s="875">
        <f>'BASE GRANTEE INFO &amp; UPDATES'!M8</f>
        <v>0</v>
      </c>
      <c r="K9" s="698"/>
      <c r="L9" s="698"/>
      <c r="M9" s="698"/>
      <c r="N9" s="698"/>
      <c r="O9" s="698"/>
      <c r="P9" s="699"/>
    </row>
    <row r="10" spans="1:16" x14ac:dyDescent="0.25">
      <c r="A10" s="916" t="s">
        <v>590</v>
      </c>
      <c r="B10" s="698"/>
      <c r="C10" s="698"/>
      <c r="D10" s="698"/>
      <c r="E10" s="698"/>
      <c r="F10" s="698"/>
      <c r="G10" s="698"/>
      <c r="H10" s="698"/>
      <c r="I10" s="698"/>
      <c r="J10" s="698"/>
      <c r="K10" s="698"/>
      <c r="L10" s="698"/>
      <c r="M10" s="698"/>
      <c r="N10" s="698"/>
      <c r="O10" s="698"/>
      <c r="P10" s="699"/>
    </row>
    <row r="11" spans="1:16" ht="18.75" customHeight="1" x14ac:dyDescent="0.25">
      <c r="A11" s="912" t="s">
        <v>591</v>
      </c>
      <c r="B11" s="698"/>
      <c r="C11" s="698"/>
      <c r="D11" s="698"/>
      <c r="E11" s="698"/>
      <c r="F11" s="698"/>
      <c r="G11" s="698"/>
      <c r="H11" s="698"/>
      <c r="I11" s="698"/>
      <c r="J11" s="698"/>
      <c r="K11" s="698"/>
      <c r="L11" s="698"/>
      <c r="M11" s="698"/>
      <c r="N11" s="698"/>
      <c r="O11" s="698"/>
      <c r="P11" s="699"/>
    </row>
    <row r="12" spans="1:16" ht="60" customHeight="1" x14ac:dyDescent="0.25">
      <c r="A12" s="573" t="s">
        <v>27</v>
      </c>
      <c r="B12" s="907" t="s">
        <v>585</v>
      </c>
      <c r="C12" s="698"/>
      <c r="D12" s="698"/>
      <c r="E12" s="699"/>
      <c r="F12" s="574"/>
      <c r="G12" s="574"/>
      <c r="H12" s="908" t="s">
        <v>586</v>
      </c>
      <c r="I12" s="705"/>
      <c r="J12" s="705"/>
      <c r="K12" s="705"/>
      <c r="L12" s="705"/>
      <c r="M12" s="705"/>
      <c r="N12" s="705"/>
      <c r="O12" s="705"/>
      <c r="P12" s="833"/>
    </row>
    <row r="13" spans="1:16" ht="45" x14ac:dyDescent="0.25">
      <c r="A13" s="575" t="s">
        <v>27</v>
      </c>
      <c r="B13" s="576" t="s">
        <v>592</v>
      </c>
      <c r="C13" s="577" t="s">
        <v>593</v>
      </c>
      <c r="D13" s="578" t="s">
        <v>594</v>
      </c>
      <c r="E13" s="579" t="s">
        <v>595</v>
      </c>
      <c r="F13" s="580"/>
      <c r="G13" s="580"/>
      <c r="H13" s="581" t="s">
        <v>596</v>
      </c>
      <c r="I13" s="577" t="s">
        <v>597</v>
      </c>
      <c r="J13" s="918" t="s">
        <v>340</v>
      </c>
      <c r="K13" s="708"/>
      <c r="L13" s="708"/>
      <c r="M13" s="708"/>
      <c r="N13" s="708"/>
      <c r="O13" s="708"/>
      <c r="P13" s="709"/>
    </row>
    <row r="14" spans="1:16" ht="39.75" customHeight="1" x14ac:dyDescent="0.25">
      <c r="A14" s="582">
        <f t="shared" ref="A14:A63" si="0">ROW(A1)</f>
        <v>1</v>
      </c>
      <c r="B14" s="583">
        <v>43709</v>
      </c>
      <c r="C14" s="582">
        <v>1</v>
      </c>
      <c r="D14" s="584" t="s">
        <v>12</v>
      </c>
      <c r="E14" s="585" t="s">
        <v>129</v>
      </c>
      <c r="F14" s="586"/>
      <c r="G14" s="586"/>
      <c r="H14" s="583">
        <v>43709</v>
      </c>
      <c r="I14" s="582">
        <v>1</v>
      </c>
      <c r="J14" s="906" t="s">
        <v>12</v>
      </c>
      <c r="K14" s="698"/>
      <c r="L14" s="698"/>
      <c r="M14" s="698"/>
      <c r="N14" s="698"/>
      <c r="O14" s="698"/>
      <c r="P14" s="699"/>
    </row>
    <row r="15" spans="1:16" ht="39.75" customHeight="1" x14ac:dyDescent="0.25">
      <c r="A15" s="582">
        <f t="shared" si="0"/>
        <v>2</v>
      </c>
      <c r="B15" s="583">
        <v>43739</v>
      </c>
      <c r="C15" s="582">
        <v>2</v>
      </c>
      <c r="D15" s="584" t="s">
        <v>12</v>
      </c>
      <c r="E15" s="585" t="s">
        <v>230</v>
      </c>
      <c r="F15" s="586"/>
      <c r="G15" s="586"/>
      <c r="H15" s="583">
        <v>43739</v>
      </c>
      <c r="I15" s="582">
        <v>1</v>
      </c>
      <c r="J15" s="906" t="s">
        <v>12</v>
      </c>
      <c r="K15" s="698"/>
      <c r="L15" s="698"/>
      <c r="M15" s="698"/>
      <c r="N15" s="698"/>
      <c r="O15" s="698"/>
      <c r="P15" s="699"/>
    </row>
    <row r="16" spans="1:16" ht="39.75" customHeight="1" x14ac:dyDescent="0.25">
      <c r="A16" s="582">
        <f t="shared" si="0"/>
        <v>3</v>
      </c>
      <c r="B16" s="583">
        <v>43770</v>
      </c>
      <c r="C16" s="582">
        <v>3</v>
      </c>
      <c r="D16" s="584" t="s">
        <v>12</v>
      </c>
      <c r="E16" s="585" t="s">
        <v>129</v>
      </c>
      <c r="F16" s="586"/>
      <c r="G16" s="586"/>
      <c r="H16" s="583">
        <v>43770</v>
      </c>
      <c r="I16" s="582">
        <v>1</v>
      </c>
      <c r="J16" s="906" t="s">
        <v>12</v>
      </c>
      <c r="K16" s="698"/>
      <c r="L16" s="698"/>
      <c r="M16" s="698"/>
      <c r="N16" s="698"/>
      <c r="O16" s="698"/>
      <c r="P16" s="699"/>
    </row>
    <row r="17" spans="1:16" ht="39.75" customHeight="1" x14ac:dyDescent="0.25">
      <c r="A17" s="582">
        <f t="shared" si="0"/>
        <v>4</v>
      </c>
      <c r="B17" s="583">
        <v>43800</v>
      </c>
      <c r="C17" s="582">
        <v>1</v>
      </c>
      <c r="D17" s="584" t="s">
        <v>12</v>
      </c>
      <c r="E17" s="585" t="s">
        <v>230</v>
      </c>
      <c r="F17" s="586"/>
      <c r="G17" s="586"/>
      <c r="H17" s="583">
        <v>43800</v>
      </c>
      <c r="I17" s="582">
        <v>1</v>
      </c>
      <c r="J17" s="906" t="s">
        <v>12</v>
      </c>
      <c r="K17" s="698"/>
      <c r="L17" s="698"/>
      <c r="M17" s="698"/>
      <c r="N17" s="698"/>
      <c r="O17" s="698"/>
      <c r="P17" s="699"/>
    </row>
    <row r="18" spans="1:16" ht="39.75" customHeight="1" x14ac:dyDescent="0.25">
      <c r="A18" s="582">
        <f t="shared" si="0"/>
        <v>5</v>
      </c>
      <c r="B18" s="583">
        <v>43831</v>
      </c>
      <c r="C18" s="582">
        <v>2</v>
      </c>
      <c r="D18" s="584" t="s">
        <v>12</v>
      </c>
      <c r="E18" s="585" t="s">
        <v>129</v>
      </c>
      <c r="F18" s="586"/>
      <c r="G18" s="586"/>
      <c r="H18" s="583">
        <v>43831</v>
      </c>
      <c r="I18" s="582">
        <v>1</v>
      </c>
      <c r="J18" s="906" t="s">
        <v>12</v>
      </c>
      <c r="K18" s="698"/>
      <c r="L18" s="698"/>
      <c r="M18" s="698"/>
      <c r="N18" s="698"/>
      <c r="O18" s="698"/>
      <c r="P18" s="699"/>
    </row>
    <row r="19" spans="1:16" ht="39.75" customHeight="1" x14ac:dyDescent="0.25">
      <c r="A19" s="582">
        <f t="shared" si="0"/>
        <v>6</v>
      </c>
      <c r="B19" s="583">
        <v>43862</v>
      </c>
      <c r="C19" s="582">
        <v>3</v>
      </c>
      <c r="D19" s="584" t="s">
        <v>12</v>
      </c>
      <c r="E19" s="585" t="s">
        <v>230</v>
      </c>
      <c r="F19" s="586"/>
      <c r="G19" s="586"/>
      <c r="H19" s="583">
        <v>43862</v>
      </c>
      <c r="I19" s="582">
        <v>1</v>
      </c>
      <c r="J19" s="906" t="s">
        <v>12</v>
      </c>
      <c r="K19" s="698"/>
      <c r="L19" s="698"/>
      <c r="M19" s="698"/>
      <c r="N19" s="698"/>
      <c r="O19" s="698"/>
      <c r="P19" s="699"/>
    </row>
    <row r="20" spans="1:16" ht="39.75" customHeight="1" x14ac:dyDescent="0.25">
      <c r="A20" s="582">
        <f t="shared" si="0"/>
        <v>7</v>
      </c>
      <c r="B20" s="583">
        <v>43891</v>
      </c>
      <c r="C20" s="582">
        <v>1</v>
      </c>
      <c r="D20" s="584" t="s">
        <v>12</v>
      </c>
      <c r="E20" s="585" t="s">
        <v>129</v>
      </c>
      <c r="F20" s="586"/>
      <c r="G20" s="586"/>
      <c r="H20" s="583">
        <v>43891</v>
      </c>
      <c r="I20" s="582">
        <v>1</v>
      </c>
      <c r="J20" s="906" t="s">
        <v>12</v>
      </c>
      <c r="K20" s="698"/>
      <c r="L20" s="698"/>
      <c r="M20" s="698"/>
      <c r="N20" s="698"/>
      <c r="O20" s="698"/>
      <c r="P20" s="699"/>
    </row>
    <row r="21" spans="1:16" ht="39.75" customHeight="1" x14ac:dyDescent="0.25">
      <c r="A21" s="582">
        <f t="shared" si="0"/>
        <v>8</v>
      </c>
      <c r="B21" s="583">
        <v>43922</v>
      </c>
      <c r="C21" s="582">
        <v>2</v>
      </c>
      <c r="D21" s="584" t="s">
        <v>12</v>
      </c>
      <c r="E21" s="585" t="s">
        <v>230</v>
      </c>
      <c r="F21" s="586"/>
      <c r="G21" s="586"/>
      <c r="H21" s="583">
        <v>43922</v>
      </c>
      <c r="I21" s="582">
        <v>1</v>
      </c>
      <c r="J21" s="906" t="s">
        <v>12</v>
      </c>
      <c r="K21" s="698"/>
      <c r="L21" s="698"/>
      <c r="M21" s="698"/>
      <c r="N21" s="698"/>
      <c r="O21" s="698"/>
      <c r="P21" s="699"/>
    </row>
    <row r="22" spans="1:16" ht="39.75" customHeight="1" x14ac:dyDescent="0.25">
      <c r="A22" s="582">
        <f t="shared" si="0"/>
        <v>9</v>
      </c>
      <c r="B22" s="583">
        <v>43952</v>
      </c>
      <c r="C22" s="582">
        <v>3</v>
      </c>
      <c r="D22" s="584" t="s">
        <v>12</v>
      </c>
      <c r="E22" s="585" t="s">
        <v>129</v>
      </c>
      <c r="F22" s="586"/>
      <c r="G22" s="586"/>
      <c r="H22" s="583">
        <v>43952</v>
      </c>
      <c r="I22" s="582">
        <v>1</v>
      </c>
      <c r="J22" s="906" t="s">
        <v>12</v>
      </c>
      <c r="K22" s="698"/>
      <c r="L22" s="698"/>
      <c r="M22" s="698"/>
      <c r="N22" s="698"/>
      <c r="O22" s="698"/>
      <c r="P22" s="699"/>
    </row>
    <row r="23" spans="1:16" ht="39.75" customHeight="1" x14ac:dyDescent="0.25">
      <c r="A23" s="582">
        <f t="shared" si="0"/>
        <v>10</v>
      </c>
      <c r="B23" s="583">
        <v>43983</v>
      </c>
      <c r="C23" s="582">
        <v>1</v>
      </c>
      <c r="D23" s="584" t="s">
        <v>12</v>
      </c>
      <c r="E23" s="585" t="s">
        <v>230</v>
      </c>
      <c r="F23" s="586"/>
      <c r="G23" s="586"/>
      <c r="H23" s="583">
        <v>43983</v>
      </c>
      <c r="I23" s="582">
        <v>1</v>
      </c>
      <c r="J23" s="906" t="s">
        <v>12</v>
      </c>
      <c r="K23" s="698"/>
      <c r="L23" s="698"/>
      <c r="M23" s="698"/>
      <c r="N23" s="698"/>
      <c r="O23" s="698"/>
      <c r="P23" s="699"/>
    </row>
    <row r="24" spans="1:16" ht="39.75" customHeight="1" x14ac:dyDescent="0.25">
      <c r="A24" s="582">
        <f t="shared" si="0"/>
        <v>11</v>
      </c>
      <c r="B24" s="583">
        <v>44013</v>
      </c>
      <c r="C24" s="582">
        <v>1</v>
      </c>
      <c r="D24" s="584" t="s">
        <v>12</v>
      </c>
      <c r="E24" s="585" t="s">
        <v>129</v>
      </c>
      <c r="F24" s="586"/>
      <c r="G24" s="586"/>
      <c r="H24" s="583">
        <v>44013</v>
      </c>
      <c r="I24" s="582">
        <v>1</v>
      </c>
      <c r="J24" s="906" t="s">
        <v>12</v>
      </c>
      <c r="K24" s="698"/>
      <c r="L24" s="698"/>
      <c r="M24" s="698"/>
      <c r="N24" s="698"/>
      <c r="O24" s="698"/>
      <c r="P24" s="699"/>
    </row>
    <row r="25" spans="1:16" ht="39.75" customHeight="1" x14ac:dyDescent="0.25">
      <c r="A25" s="582">
        <f t="shared" si="0"/>
        <v>12</v>
      </c>
      <c r="B25" s="583">
        <v>44044</v>
      </c>
      <c r="C25" s="582">
        <v>2</v>
      </c>
      <c r="D25" s="584" t="s">
        <v>12</v>
      </c>
      <c r="E25" s="585" t="s">
        <v>230</v>
      </c>
      <c r="F25" s="586"/>
      <c r="G25" s="586"/>
      <c r="H25" s="583">
        <v>44044</v>
      </c>
      <c r="I25" s="582">
        <v>1</v>
      </c>
      <c r="J25" s="906" t="s">
        <v>12</v>
      </c>
      <c r="K25" s="698"/>
      <c r="L25" s="698"/>
      <c r="M25" s="698"/>
      <c r="N25" s="698"/>
      <c r="O25" s="698"/>
      <c r="P25" s="699"/>
    </row>
    <row r="26" spans="1:16" ht="39.75" customHeight="1" x14ac:dyDescent="0.25">
      <c r="A26" s="582">
        <f t="shared" si="0"/>
        <v>13</v>
      </c>
      <c r="B26" s="583">
        <v>44075</v>
      </c>
      <c r="C26" s="582">
        <v>3</v>
      </c>
      <c r="D26" s="584" t="s">
        <v>12</v>
      </c>
      <c r="E26" s="585" t="s">
        <v>129</v>
      </c>
      <c r="F26" s="586"/>
      <c r="G26" s="586"/>
      <c r="H26" s="583">
        <v>44075</v>
      </c>
      <c r="I26" s="582">
        <v>1</v>
      </c>
      <c r="J26" s="906" t="s">
        <v>12</v>
      </c>
      <c r="K26" s="698"/>
      <c r="L26" s="698"/>
      <c r="M26" s="698"/>
      <c r="N26" s="698"/>
      <c r="O26" s="698"/>
      <c r="P26" s="699"/>
    </row>
    <row r="27" spans="1:16" ht="39.75" customHeight="1" x14ac:dyDescent="0.25">
      <c r="A27" s="582">
        <f t="shared" si="0"/>
        <v>14</v>
      </c>
      <c r="B27" s="583">
        <v>44105</v>
      </c>
      <c r="C27" s="582">
        <v>1</v>
      </c>
      <c r="D27" s="584" t="s">
        <v>12</v>
      </c>
      <c r="E27" s="585" t="s">
        <v>230</v>
      </c>
      <c r="F27" s="586"/>
      <c r="G27" s="586"/>
      <c r="H27" s="583">
        <v>44105</v>
      </c>
      <c r="I27" s="582">
        <v>1</v>
      </c>
      <c r="J27" s="906" t="s">
        <v>12</v>
      </c>
      <c r="K27" s="698"/>
      <c r="L27" s="698"/>
      <c r="M27" s="698"/>
      <c r="N27" s="698"/>
      <c r="O27" s="698"/>
      <c r="P27" s="699"/>
    </row>
    <row r="28" spans="1:16" ht="39.75" customHeight="1" x14ac:dyDescent="0.25">
      <c r="A28" s="582">
        <f t="shared" si="0"/>
        <v>15</v>
      </c>
      <c r="B28" s="583">
        <v>43435</v>
      </c>
      <c r="C28" s="582">
        <v>2</v>
      </c>
      <c r="D28" s="584" t="s">
        <v>12</v>
      </c>
      <c r="E28" s="585" t="s">
        <v>129</v>
      </c>
      <c r="F28" s="586"/>
      <c r="G28" s="586"/>
      <c r="H28" s="583">
        <v>43435</v>
      </c>
      <c r="I28" s="582">
        <v>1</v>
      </c>
      <c r="J28" s="906" t="s">
        <v>12</v>
      </c>
      <c r="K28" s="698"/>
      <c r="L28" s="698"/>
      <c r="M28" s="698"/>
      <c r="N28" s="698"/>
      <c r="O28" s="698"/>
      <c r="P28" s="699"/>
    </row>
    <row r="29" spans="1:16" ht="39.75" customHeight="1" x14ac:dyDescent="0.25">
      <c r="A29" s="582">
        <f t="shared" si="0"/>
        <v>16</v>
      </c>
      <c r="B29" s="583">
        <v>43709</v>
      </c>
      <c r="C29" s="582">
        <v>3</v>
      </c>
      <c r="D29" s="584" t="s">
        <v>12</v>
      </c>
      <c r="E29" s="585" t="s">
        <v>230</v>
      </c>
      <c r="F29" s="586"/>
      <c r="G29" s="586"/>
      <c r="H29" s="583">
        <v>43709</v>
      </c>
      <c r="I29" s="582">
        <v>1</v>
      </c>
      <c r="J29" s="906" t="s">
        <v>12</v>
      </c>
      <c r="K29" s="698"/>
      <c r="L29" s="698"/>
      <c r="M29" s="698"/>
      <c r="N29" s="698"/>
      <c r="O29" s="698"/>
      <c r="P29" s="699"/>
    </row>
    <row r="30" spans="1:16" ht="39.75" customHeight="1" x14ac:dyDescent="0.25">
      <c r="A30" s="582">
        <f t="shared" si="0"/>
        <v>17</v>
      </c>
      <c r="B30" s="583">
        <v>43739</v>
      </c>
      <c r="C30" s="582">
        <v>1</v>
      </c>
      <c r="D30" s="584" t="s">
        <v>12</v>
      </c>
      <c r="E30" s="585" t="s">
        <v>129</v>
      </c>
      <c r="F30" s="586"/>
      <c r="G30" s="586"/>
      <c r="H30" s="583">
        <v>43739</v>
      </c>
      <c r="I30" s="582">
        <v>1</v>
      </c>
      <c r="J30" s="906" t="s">
        <v>12</v>
      </c>
      <c r="K30" s="698"/>
      <c r="L30" s="698"/>
      <c r="M30" s="698"/>
      <c r="N30" s="698"/>
      <c r="O30" s="698"/>
      <c r="P30" s="699"/>
    </row>
    <row r="31" spans="1:16" ht="39.75" customHeight="1" x14ac:dyDescent="0.25">
      <c r="A31" s="582">
        <f t="shared" si="0"/>
        <v>18</v>
      </c>
      <c r="B31" s="583">
        <v>43770</v>
      </c>
      <c r="C31" s="582">
        <v>2</v>
      </c>
      <c r="D31" s="584" t="s">
        <v>12</v>
      </c>
      <c r="E31" s="585" t="s">
        <v>230</v>
      </c>
      <c r="F31" s="586"/>
      <c r="G31" s="586"/>
      <c r="H31" s="583">
        <v>43770</v>
      </c>
      <c r="I31" s="582">
        <v>1</v>
      </c>
      <c r="J31" s="906" t="s">
        <v>12</v>
      </c>
      <c r="K31" s="698"/>
      <c r="L31" s="698"/>
      <c r="M31" s="698"/>
      <c r="N31" s="698"/>
      <c r="O31" s="698"/>
      <c r="P31" s="699"/>
    </row>
    <row r="32" spans="1:16" ht="39.75" customHeight="1" x14ac:dyDescent="0.25">
      <c r="A32" s="582">
        <f t="shared" si="0"/>
        <v>19</v>
      </c>
      <c r="B32" s="583">
        <v>43800</v>
      </c>
      <c r="C32" s="582">
        <v>3</v>
      </c>
      <c r="D32" s="584" t="s">
        <v>12</v>
      </c>
      <c r="E32" s="585" t="s">
        <v>129</v>
      </c>
      <c r="F32" s="586"/>
      <c r="G32" s="586"/>
      <c r="H32" s="583">
        <v>43800</v>
      </c>
      <c r="I32" s="582">
        <v>1</v>
      </c>
      <c r="J32" s="906" t="s">
        <v>12</v>
      </c>
      <c r="K32" s="698"/>
      <c r="L32" s="698"/>
      <c r="M32" s="698"/>
      <c r="N32" s="698"/>
      <c r="O32" s="698"/>
      <c r="P32" s="699"/>
    </row>
    <row r="33" spans="1:16" ht="39.75" customHeight="1" x14ac:dyDescent="0.25">
      <c r="A33" s="582">
        <f t="shared" si="0"/>
        <v>20</v>
      </c>
      <c r="B33" s="583">
        <v>43831</v>
      </c>
      <c r="C33" s="582">
        <v>1</v>
      </c>
      <c r="D33" s="584" t="s">
        <v>12</v>
      </c>
      <c r="E33" s="585" t="s">
        <v>230</v>
      </c>
      <c r="F33" s="586"/>
      <c r="G33" s="586"/>
      <c r="H33" s="583">
        <v>43831</v>
      </c>
      <c r="I33" s="582">
        <v>1</v>
      </c>
      <c r="J33" s="906" t="s">
        <v>12</v>
      </c>
      <c r="K33" s="698"/>
      <c r="L33" s="698"/>
      <c r="M33" s="698"/>
      <c r="N33" s="698"/>
      <c r="O33" s="698"/>
      <c r="P33" s="699"/>
    </row>
    <row r="34" spans="1:16" ht="39.75" customHeight="1" x14ac:dyDescent="0.25">
      <c r="A34" s="582">
        <f t="shared" si="0"/>
        <v>21</v>
      </c>
      <c r="B34" s="583">
        <v>43862</v>
      </c>
      <c r="C34" s="582">
        <v>1</v>
      </c>
      <c r="D34" s="584" t="s">
        <v>12</v>
      </c>
      <c r="E34" s="585" t="s">
        <v>129</v>
      </c>
      <c r="F34" s="586"/>
      <c r="G34" s="586"/>
      <c r="H34" s="583">
        <v>43862</v>
      </c>
      <c r="I34" s="582">
        <v>1</v>
      </c>
      <c r="J34" s="906" t="s">
        <v>12</v>
      </c>
      <c r="K34" s="698"/>
      <c r="L34" s="698"/>
      <c r="M34" s="698"/>
      <c r="N34" s="698"/>
      <c r="O34" s="698"/>
      <c r="P34" s="699"/>
    </row>
    <row r="35" spans="1:16" ht="39.75" customHeight="1" x14ac:dyDescent="0.25">
      <c r="A35" s="582">
        <f t="shared" si="0"/>
        <v>22</v>
      </c>
      <c r="B35" s="583">
        <v>43891</v>
      </c>
      <c r="C35" s="582">
        <v>2</v>
      </c>
      <c r="D35" s="584" t="s">
        <v>12</v>
      </c>
      <c r="E35" s="585" t="s">
        <v>230</v>
      </c>
      <c r="F35" s="586"/>
      <c r="G35" s="586"/>
      <c r="H35" s="583">
        <v>43891</v>
      </c>
      <c r="I35" s="582">
        <v>1</v>
      </c>
      <c r="J35" s="906" t="s">
        <v>12</v>
      </c>
      <c r="K35" s="698"/>
      <c r="L35" s="698"/>
      <c r="M35" s="698"/>
      <c r="N35" s="698"/>
      <c r="O35" s="698"/>
      <c r="P35" s="699"/>
    </row>
    <row r="36" spans="1:16" ht="39.75" customHeight="1" x14ac:dyDescent="0.25">
      <c r="A36" s="582">
        <f t="shared" si="0"/>
        <v>23</v>
      </c>
      <c r="B36" s="583">
        <v>43922</v>
      </c>
      <c r="C36" s="582">
        <v>3</v>
      </c>
      <c r="D36" s="584" t="s">
        <v>12</v>
      </c>
      <c r="E36" s="585" t="s">
        <v>129</v>
      </c>
      <c r="F36" s="586"/>
      <c r="G36" s="586"/>
      <c r="H36" s="583">
        <v>43922</v>
      </c>
      <c r="I36" s="582">
        <v>1</v>
      </c>
      <c r="J36" s="906" t="s">
        <v>12</v>
      </c>
      <c r="K36" s="698"/>
      <c r="L36" s="698"/>
      <c r="M36" s="698"/>
      <c r="N36" s="698"/>
      <c r="O36" s="698"/>
      <c r="P36" s="699"/>
    </row>
    <row r="37" spans="1:16" ht="39.75" customHeight="1" x14ac:dyDescent="0.25">
      <c r="A37" s="582">
        <f t="shared" si="0"/>
        <v>24</v>
      </c>
      <c r="B37" s="583">
        <v>43952</v>
      </c>
      <c r="C37" s="582">
        <v>1</v>
      </c>
      <c r="D37" s="584" t="s">
        <v>12</v>
      </c>
      <c r="E37" s="585" t="s">
        <v>230</v>
      </c>
      <c r="F37" s="586"/>
      <c r="G37" s="586"/>
      <c r="H37" s="583">
        <v>43952</v>
      </c>
      <c r="I37" s="582">
        <v>1</v>
      </c>
      <c r="J37" s="906" t="s">
        <v>12</v>
      </c>
      <c r="K37" s="698"/>
      <c r="L37" s="698"/>
      <c r="M37" s="698"/>
      <c r="N37" s="698"/>
      <c r="O37" s="698"/>
      <c r="P37" s="699"/>
    </row>
    <row r="38" spans="1:16" ht="39.75" customHeight="1" x14ac:dyDescent="0.25">
      <c r="A38" s="582">
        <f t="shared" si="0"/>
        <v>25</v>
      </c>
      <c r="B38" s="583">
        <v>43983</v>
      </c>
      <c r="C38" s="582">
        <v>2</v>
      </c>
      <c r="D38" s="584" t="s">
        <v>12</v>
      </c>
      <c r="E38" s="585" t="s">
        <v>129</v>
      </c>
      <c r="F38" s="586"/>
      <c r="G38" s="586"/>
      <c r="H38" s="583">
        <v>43983</v>
      </c>
      <c r="I38" s="582">
        <v>1</v>
      </c>
      <c r="J38" s="906" t="s">
        <v>12</v>
      </c>
      <c r="K38" s="698"/>
      <c r="L38" s="698"/>
      <c r="M38" s="698"/>
      <c r="N38" s="698"/>
      <c r="O38" s="698"/>
      <c r="P38" s="699"/>
    </row>
    <row r="39" spans="1:16" ht="39.75" customHeight="1" x14ac:dyDescent="0.25">
      <c r="A39" s="582">
        <f t="shared" si="0"/>
        <v>26</v>
      </c>
      <c r="B39" s="583">
        <v>44013</v>
      </c>
      <c r="C39" s="582">
        <v>3</v>
      </c>
      <c r="D39" s="584" t="s">
        <v>12</v>
      </c>
      <c r="E39" s="585" t="s">
        <v>230</v>
      </c>
      <c r="F39" s="586"/>
      <c r="G39" s="586"/>
      <c r="H39" s="583">
        <v>44013</v>
      </c>
      <c r="I39" s="582">
        <v>1</v>
      </c>
      <c r="J39" s="906" t="s">
        <v>12</v>
      </c>
      <c r="K39" s="698"/>
      <c r="L39" s="698"/>
      <c r="M39" s="698"/>
      <c r="N39" s="698"/>
      <c r="O39" s="698"/>
      <c r="P39" s="699"/>
    </row>
    <row r="40" spans="1:16" ht="39.75" customHeight="1" x14ac:dyDescent="0.25">
      <c r="A40" s="582">
        <f t="shared" si="0"/>
        <v>27</v>
      </c>
      <c r="B40" s="583">
        <v>44044</v>
      </c>
      <c r="C40" s="582">
        <v>1</v>
      </c>
      <c r="D40" s="584" t="s">
        <v>12</v>
      </c>
      <c r="E40" s="585" t="s">
        <v>129</v>
      </c>
      <c r="F40" s="586"/>
      <c r="G40" s="586"/>
      <c r="H40" s="583">
        <v>44044</v>
      </c>
      <c r="I40" s="582">
        <v>1</v>
      </c>
      <c r="J40" s="906" t="s">
        <v>12</v>
      </c>
      <c r="K40" s="698"/>
      <c r="L40" s="698"/>
      <c r="M40" s="698"/>
      <c r="N40" s="698"/>
      <c r="O40" s="698"/>
      <c r="P40" s="699"/>
    </row>
    <row r="41" spans="1:16" ht="39.75" customHeight="1" x14ac:dyDescent="0.25">
      <c r="A41" s="582">
        <f t="shared" si="0"/>
        <v>28</v>
      </c>
      <c r="B41" s="583">
        <v>44075</v>
      </c>
      <c r="C41" s="582">
        <v>2</v>
      </c>
      <c r="D41" s="584" t="s">
        <v>12</v>
      </c>
      <c r="E41" s="585" t="s">
        <v>230</v>
      </c>
      <c r="F41" s="586"/>
      <c r="G41" s="586"/>
      <c r="H41" s="583">
        <v>44075</v>
      </c>
      <c r="I41" s="582">
        <v>1</v>
      </c>
      <c r="J41" s="906" t="s">
        <v>12</v>
      </c>
      <c r="K41" s="698"/>
      <c r="L41" s="698"/>
      <c r="M41" s="698"/>
      <c r="N41" s="698"/>
      <c r="O41" s="698"/>
      <c r="P41" s="699"/>
    </row>
    <row r="42" spans="1:16" ht="39.75" customHeight="1" x14ac:dyDescent="0.25">
      <c r="A42" s="582">
        <f t="shared" si="0"/>
        <v>29</v>
      </c>
      <c r="B42" s="583">
        <v>44105</v>
      </c>
      <c r="C42" s="582">
        <v>3</v>
      </c>
      <c r="D42" s="584" t="s">
        <v>12</v>
      </c>
      <c r="E42" s="585" t="s">
        <v>129</v>
      </c>
      <c r="F42" s="586"/>
      <c r="G42" s="586"/>
      <c r="H42" s="583">
        <v>44105</v>
      </c>
      <c r="I42" s="582">
        <v>1</v>
      </c>
      <c r="J42" s="906" t="s">
        <v>12</v>
      </c>
      <c r="K42" s="698"/>
      <c r="L42" s="698"/>
      <c r="M42" s="698"/>
      <c r="N42" s="698"/>
      <c r="O42" s="698"/>
      <c r="P42" s="699"/>
    </row>
    <row r="43" spans="1:16" ht="39.75" customHeight="1" x14ac:dyDescent="0.25">
      <c r="A43" s="582">
        <f t="shared" si="0"/>
        <v>30</v>
      </c>
      <c r="B43" s="583">
        <v>43435</v>
      </c>
      <c r="C43" s="582">
        <v>1</v>
      </c>
      <c r="D43" s="584" t="s">
        <v>12</v>
      </c>
      <c r="E43" s="585" t="s">
        <v>230</v>
      </c>
      <c r="F43" s="586"/>
      <c r="G43" s="586"/>
      <c r="H43" s="583">
        <v>43435</v>
      </c>
      <c r="I43" s="582">
        <v>1</v>
      </c>
      <c r="J43" s="906" t="s">
        <v>12</v>
      </c>
      <c r="K43" s="698"/>
      <c r="L43" s="698"/>
      <c r="M43" s="698"/>
      <c r="N43" s="698"/>
      <c r="O43" s="698"/>
      <c r="P43" s="699"/>
    </row>
    <row r="44" spans="1:16" ht="39.75" customHeight="1" x14ac:dyDescent="0.25">
      <c r="A44" s="582">
        <f t="shared" si="0"/>
        <v>31</v>
      </c>
      <c r="B44" s="583">
        <v>43709</v>
      </c>
      <c r="C44" s="582">
        <v>1</v>
      </c>
      <c r="D44" s="584" t="s">
        <v>12</v>
      </c>
      <c r="E44" s="585" t="s">
        <v>129</v>
      </c>
      <c r="F44" s="586"/>
      <c r="G44" s="586"/>
      <c r="H44" s="583">
        <v>43709</v>
      </c>
      <c r="I44" s="582">
        <v>1</v>
      </c>
      <c r="J44" s="906" t="s">
        <v>12</v>
      </c>
      <c r="K44" s="698"/>
      <c r="L44" s="698"/>
      <c r="M44" s="698"/>
      <c r="N44" s="698"/>
      <c r="O44" s="698"/>
      <c r="P44" s="699"/>
    </row>
    <row r="45" spans="1:16" ht="39.75" customHeight="1" x14ac:dyDescent="0.25">
      <c r="A45" s="582">
        <f t="shared" si="0"/>
        <v>32</v>
      </c>
      <c r="B45" s="583">
        <v>43739</v>
      </c>
      <c r="C45" s="582">
        <v>2</v>
      </c>
      <c r="D45" s="584" t="s">
        <v>12</v>
      </c>
      <c r="E45" s="585" t="s">
        <v>230</v>
      </c>
      <c r="F45" s="586"/>
      <c r="G45" s="586"/>
      <c r="H45" s="583">
        <v>43739</v>
      </c>
      <c r="I45" s="582">
        <v>1</v>
      </c>
      <c r="J45" s="906" t="s">
        <v>12</v>
      </c>
      <c r="K45" s="698"/>
      <c r="L45" s="698"/>
      <c r="M45" s="698"/>
      <c r="N45" s="698"/>
      <c r="O45" s="698"/>
      <c r="P45" s="699"/>
    </row>
    <row r="46" spans="1:16" ht="39.75" customHeight="1" x14ac:dyDescent="0.25">
      <c r="A46" s="582">
        <f t="shared" si="0"/>
        <v>33</v>
      </c>
      <c r="B46" s="583">
        <v>43770</v>
      </c>
      <c r="C46" s="582">
        <v>3</v>
      </c>
      <c r="D46" s="584" t="s">
        <v>12</v>
      </c>
      <c r="E46" s="585" t="s">
        <v>129</v>
      </c>
      <c r="F46" s="586"/>
      <c r="G46" s="586"/>
      <c r="H46" s="583">
        <v>43770</v>
      </c>
      <c r="I46" s="582">
        <v>1</v>
      </c>
      <c r="J46" s="906" t="s">
        <v>12</v>
      </c>
      <c r="K46" s="698"/>
      <c r="L46" s="698"/>
      <c r="M46" s="698"/>
      <c r="N46" s="698"/>
      <c r="O46" s="698"/>
      <c r="P46" s="699"/>
    </row>
    <row r="47" spans="1:16" ht="39.75" customHeight="1" x14ac:dyDescent="0.25">
      <c r="A47" s="582">
        <f t="shared" si="0"/>
        <v>34</v>
      </c>
      <c r="B47" s="583">
        <v>43800</v>
      </c>
      <c r="C47" s="582">
        <v>1</v>
      </c>
      <c r="D47" s="584" t="s">
        <v>12</v>
      </c>
      <c r="E47" s="585" t="s">
        <v>230</v>
      </c>
      <c r="F47" s="586"/>
      <c r="G47" s="586"/>
      <c r="H47" s="583">
        <v>43800</v>
      </c>
      <c r="I47" s="582">
        <v>1</v>
      </c>
      <c r="J47" s="906" t="s">
        <v>12</v>
      </c>
      <c r="K47" s="698"/>
      <c r="L47" s="698"/>
      <c r="M47" s="698"/>
      <c r="N47" s="698"/>
      <c r="O47" s="698"/>
      <c r="P47" s="699"/>
    </row>
    <row r="48" spans="1:16" ht="39.75" customHeight="1" x14ac:dyDescent="0.25">
      <c r="A48" s="582">
        <f t="shared" si="0"/>
        <v>35</v>
      </c>
      <c r="B48" s="583">
        <v>43831</v>
      </c>
      <c r="C48" s="582">
        <v>2</v>
      </c>
      <c r="D48" s="584" t="s">
        <v>12</v>
      </c>
      <c r="E48" s="585" t="s">
        <v>129</v>
      </c>
      <c r="F48" s="586"/>
      <c r="G48" s="586"/>
      <c r="H48" s="583">
        <v>43831</v>
      </c>
      <c r="I48" s="582">
        <v>1</v>
      </c>
      <c r="J48" s="906" t="s">
        <v>12</v>
      </c>
      <c r="K48" s="698"/>
      <c r="L48" s="698"/>
      <c r="M48" s="698"/>
      <c r="N48" s="698"/>
      <c r="O48" s="698"/>
      <c r="P48" s="699"/>
    </row>
    <row r="49" spans="1:16" ht="39.75" customHeight="1" x14ac:dyDescent="0.25">
      <c r="A49" s="582">
        <f t="shared" si="0"/>
        <v>36</v>
      </c>
      <c r="B49" s="583">
        <v>43862</v>
      </c>
      <c r="C49" s="582">
        <v>3</v>
      </c>
      <c r="D49" s="584" t="s">
        <v>12</v>
      </c>
      <c r="E49" s="585" t="s">
        <v>230</v>
      </c>
      <c r="F49" s="586"/>
      <c r="G49" s="586"/>
      <c r="H49" s="583">
        <v>43862</v>
      </c>
      <c r="I49" s="582">
        <v>1</v>
      </c>
      <c r="J49" s="906" t="s">
        <v>12</v>
      </c>
      <c r="K49" s="698"/>
      <c r="L49" s="698"/>
      <c r="M49" s="698"/>
      <c r="N49" s="698"/>
      <c r="O49" s="698"/>
      <c r="P49" s="699"/>
    </row>
    <row r="50" spans="1:16" ht="39.75" customHeight="1" x14ac:dyDescent="0.25">
      <c r="A50" s="582">
        <f t="shared" si="0"/>
        <v>37</v>
      </c>
      <c r="B50" s="583">
        <v>43891</v>
      </c>
      <c r="C50" s="582">
        <v>1</v>
      </c>
      <c r="D50" s="584" t="s">
        <v>12</v>
      </c>
      <c r="E50" s="585" t="s">
        <v>129</v>
      </c>
      <c r="F50" s="586"/>
      <c r="G50" s="586"/>
      <c r="H50" s="583">
        <v>43891</v>
      </c>
      <c r="I50" s="582">
        <v>1</v>
      </c>
      <c r="J50" s="906" t="s">
        <v>12</v>
      </c>
      <c r="K50" s="698"/>
      <c r="L50" s="698"/>
      <c r="M50" s="698"/>
      <c r="N50" s="698"/>
      <c r="O50" s="698"/>
      <c r="P50" s="699"/>
    </row>
    <row r="51" spans="1:16" ht="39.75" customHeight="1" x14ac:dyDescent="0.25">
      <c r="A51" s="582">
        <f t="shared" si="0"/>
        <v>38</v>
      </c>
      <c r="B51" s="583">
        <v>43922</v>
      </c>
      <c r="C51" s="582">
        <v>1</v>
      </c>
      <c r="D51" s="584" t="s">
        <v>12</v>
      </c>
      <c r="E51" s="585" t="s">
        <v>230</v>
      </c>
      <c r="F51" s="586"/>
      <c r="G51" s="586"/>
      <c r="H51" s="583">
        <v>43922</v>
      </c>
      <c r="I51" s="582">
        <v>1</v>
      </c>
      <c r="J51" s="906" t="s">
        <v>12</v>
      </c>
      <c r="K51" s="698"/>
      <c r="L51" s="698"/>
      <c r="M51" s="698"/>
      <c r="N51" s="698"/>
      <c r="O51" s="698"/>
      <c r="P51" s="699"/>
    </row>
    <row r="52" spans="1:16" ht="39.75" customHeight="1" x14ac:dyDescent="0.25">
      <c r="A52" s="582">
        <f t="shared" si="0"/>
        <v>39</v>
      </c>
      <c r="B52" s="583">
        <v>43952</v>
      </c>
      <c r="C52" s="582">
        <v>2</v>
      </c>
      <c r="D52" s="584" t="s">
        <v>12</v>
      </c>
      <c r="E52" s="585" t="s">
        <v>129</v>
      </c>
      <c r="F52" s="586"/>
      <c r="G52" s="586"/>
      <c r="H52" s="583">
        <v>43952</v>
      </c>
      <c r="I52" s="582">
        <v>1</v>
      </c>
      <c r="J52" s="906" t="s">
        <v>12</v>
      </c>
      <c r="K52" s="698"/>
      <c r="L52" s="698"/>
      <c r="M52" s="698"/>
      <c r="N52" s="698"/>
      <c r="O52" s="698"/>
      <c r="P52" s="699"/>
    </row>
    <row r="53" spans="1:16" ht="39.75" customHeight="1" x14ac:dyDescent="0.25">
      <c r="A53" s="582">
        <f t="shared" si="0"/>
        <v>40</v>
      </c>
      <c r="B53" s="583">
        <v>43983</v>
      </c>
      <c r="C53" s="582">
        <v>3</v>
      </c>
      <c r="D53" s="584" t="s">
        <v>12</v>
      </c>
      <c r="E53" s="585" t="s">
        <v>230</v>
      </c>
      <c r="F53" s="586"/>
      <c r="G53" s="586"/>
      <c r="H53" s="583">
        <v>43983</v>
      </c>
      <c r="I53" s="582">
        <v>1</v>
      </c>
      <c r="J53" s="906" t="s">
        <v>12</v>
      </c>
      <c r="K53" s="698"/>
      <c r="L53" s="698"/>
      <c r="M53" s="698"/>
      <c r="N53" s="698"/>
      <c r="O53" s="698"/>
      <c r="P53" s="699"/>
    </row>
    <row r="54" spans="1:16" ht="39.75" customHeight="1" x14ac:dyDescent="0.25">
      <c r="A54" s="582">
        <f t="shared" si="0"/>
        <v>41</v>
      </c>
      <c r="B54" s="583">
        <v>44013</v>
      </c>
      <c r="C54" s="582">
        <v>1</v>
      </c>
      <c r="D54" s="584" t="s">
        <v>12</v>
      </c>
      <c r="E54" s="585" t="s">
        <v>129</v>
      </c>
      <c r="F54" s="586"/>
      <c r="G54" s="586"/>
      <c r="H54" s="583">
        <v>44013</v>
      </c>
      <c r="I54" s="582">
        <v>1</v>
      </c>
      <c r="J54" s="906" t="s">
        <v>12</v>
      </c>
      <c r="K54" s="698"/>
      <c r="L54" s="698"/>
      <c r="M54" s="698"/>
      <c r="N54" s="698"/>
      <c r="O54" s="698"/>
      <c r="P54" s="699"/>
    </row>
    <row r="55" spans="1:16" ht="39.75" customHeight="1" x14ac:dyDescent="0.25">
      <c r="A55" s="582">
        <f t="shared" si="0"/>
        <v>42</v>
      </c>
      <c r="B55" s="583">
        <v>44044</v>
      </c>
      <c r="C55" s="582">
        <v>2</v>
      </c>
      <c r="D55" s="584" t="s">
        <v>12</v>
      </c>
      <c r="E55" s="585" t="s">
        <v>230</v>
      </c>
      <c r="F55" s="586"/>
      <c r="G55" s="586"/>
      <c r="H55" s="583">
        <v>44044</v>
      </c>
      <c r="I55" s="582">
        <v>1</v>
      </c>
      <c r="J55" s="906" t="s">
        <v>12</v>
      </c>
      <c r="K55" s="698"/>
      <c r="L55" s="698"/>
      <c r="M55" s="698"/>
      <c r="N55" s="698"/>
      <c r="O55" s="698"/>
      <c r="P55" s="699"/>
    </row>
    <row r="56" spans="1:16" ht="39.75" customHeight="1" x14ac:dyDescent="0.25">
      <c r="A56" s="582">
        <f t="shared" si="0"/>
        <v>43</v>
      </c>
      <c r="B56" s="583">
        <v>44075</v>
      </c>
      <c r="C56" s="582">
        <v>3</v>
      </c>
      <c r="D56" s="584" t="s">
        <v>12</v>
      </c>
      <c r="E56" s="585" t="s">
        <v>129</v>
      </c>
      <c r="F56" s="586"/>
      <c r="G56" s="586"/>
      <c r="H56" s="583">
        <v>44075</v>
      </c>
      <c r="I56" s="582">
        <v>1</v>
      </c>
      <c r="J56" s="906" t="s">
        <v>12</v>
      </c>
      <c r="K56" s="698"/>
      <c r="L56" s="698"/>
      <c r="M56" s="698"/>
      <c r="N56" s="698"/>
      <c r="O56" s="698"/>
      <c r="P56" s="699"/>
    </row>
    <row r="57" spans="1:16" ht="39.75" customHeight="1" x14ac:dyDescent="0.25">
      <c r="A57" s="582">
        <f t="shared" si="0"/>
        <v>44</v>
      </c>
      <c r="B57" s="583">
        <v>44105</v>
      </c>
      <c r="C57" s="582">
        <v>1</v>
      </c>
      <c r="D57" s="584" t="s">
        <v>12</v>
      </c>
      <c r="E57" s="585" t="s">
        <v>230</v>
      </c>
      <c r="F57" s="586"/>
      <c r="G57" s="586"/>
      <c r="H57" s="583">
        <v>44105</v>
      </c>
      <c r="I57" s="582">
        <v>1</v>
      </c>
      <c r="J57" s="906" t="s">
        <v>12</v>
      </c>
      <c r="K57" s="698"/>
      <c r="L57" s="698"/>
      <c r="M57" s="698"/>
      <c r="N57" s="698"/>
      <c r="O57" s="698"/>
      <c r="P57" s="699"/>
    </row>
    <row r="58" spans="1:16" ht="39.75" customHeight="1" x14ac:dyDescent="0.25">
      <c r="A58" s="582">
        <f t="shared" si="0"/>
        <v>45</v>
      </c>
      <c r="B58" s="583">
        <v>43435</v>
      </c>
      <c r="C58" s="582">
        <v>2</v>
      </c>
      <c r="D58" s="584" t="s">
        <v>12</v>
      </c>
      <c r="E58" s="585" t="s">
        <v>129</v>
      </c>
      <c r="F58" s="586"/>
      <c r="G58" s="586"/>
      <c r="H58" s="583">
        <v>43435</v>
      </c>
      <c r="I58" s="582">
        <v>1</v>
      </c>
      <c r="J58" s="906" t="s">
        <v>12</v>
      </c>
      <c r="K58" s="698"/>
      <c r="L58" s="698"/>
      <c r="M58" s="698"/>
      <c r="N58" s="698"/>
      <c r="O58" s="698"/>
      <c r="P58" s="699"/>
    </row>
    <row r="59" spans="1:16" ht="39.75" customHeight="1" x14ac:dyDescent="0.25">
      <c r="A59" s="582">
        <f t="shared" si="0"/>
        <v>46</v>
      </c>
      <c r="B59" s="583">
        <v>43709</v>
      </c>
      <c r="C59" s="582">
        <v>3</v>
      </c>
      <c r="D59" s="584" t="s">
        <v>12</v>
      </c>
      <c r="E59" s="585" t="s">
        <v>230</v>
      </c>
      <c r="F59" s="586"/>
      <c r="G59" s="586"/>
      <c r="H59" s="583">
        <v>43709</v>
      </c>
      <c r="I59" s="582">
        <v>1</v>
      </c>
      <c r="J59" s="906" t="s">
        <v>12</v>
      </c>
      <c r="K59" s="698"/>
      <c r="L59" s="698"/>
      <c r="M59" s="698"/>
      <c r="N59" s="698"/>
      <c r="O59" s="698"/>
      <c r="P59" s="699"/>
    </row>
    <row r="60" spans="1:16" ht="39.75" customHeight="1" x14ac:dyDescent="0.25">
      <c r="A60" s="582">
        <f t="shared" si="0"/>
        <v>47</v>
      </c>
      <c r="B60" s="583">
        <v>43739</v>
      </c>
      <c r="C60" s="582">
        <v>1</v>
      </c>
      <c r="D60" s="584" t="s">
        <v>12</v>
      </c>
      <c r="E60" s="585" t="s">
        <v>129</v>
      </c>
      <c r="F60" s="586"/>
      <c r="G60" s="586"/>
      <c r="H60" s="583">
        <v>43739</v>
      </c>
      <c r="I60" s="582">
        <v>1</v>
      </c>
      <c r="J60" s="906" t="s">
        <v>12</v>
      </c>
      <c r="K60" s="698"/>
      <c r="L60" s="698"/>
      <c r="M60" s="698"/>
      <c r="N60" s="698"/>
      <c r="O60" s="698"/>
      <c r="P60" s="699"/>
    </row>
    <row r="61" spans="1:16" ht="39.75" customHeight="1" x14ac:dyDescent="0.25">
      <c r="A61" s="582">
        <f t="shared" si="0"/>
        <v>48</v>
      </c>
      <c r="B61" s="583">
        <v>43770</v>
      </c>
      <c r="C61" s="582">
        <v>1</v>
      </c>
      <c r="D61" s="584" t="s">
        <v>12</v>
      </c>
      <c r="E61" s="585" t="s">
        <v>230</v>
      </c>
      <c r="F61" s="586"/>
      <c r="G61" s="586"/>
      <c r="H61" s="583">
        <v>43770</v>
      </c>
      <c r="I61" s="582">
        <v>1</v>
      </c>
      <c r="J61" s="906" t="s">
        <v>12</v>
      </c>
      <c r="K61" s="698"/>
      <c r="L61" s="698"/>
      <c r="M61" s="698"/>
      <c r="N61" s="698"/>
      <c r="O61" s="698"/>
      <c r="P61" s="699"/>
    </row>
    <row r="62" spans="1:16" ht="39.75" customHeight="1" x14ac:dyDescent="0.25">
      <c r="A62" s="582">
        <f t="shared" si="0"/>
        <v>49</v>
      </c>
      <c r="B62" s="583">
        <v>43800</v>
      </c>
      <c r="C62" s="582">
        <v>2</v>
      </c>
      <c r="D62" s="584" t="s">
        <v>12</v>
      </c>
      <c r="E62" s="585" t="s">
        <v>129</v>
      </c>
      <c r="F62" s="586"/>
      <c r="G62" s="586"/>
      <c r="H62" s="583">
        <v>43800</v>
      </c>
      <c r="I62" s="582">
        <v>1</v>
      </c>
      <c r="J62" s="906" t="s">
        <v>12</v>
      </c>
      <c r="K62" s="698"/>
      <c r="L62" s="698"/>
      <c r="M62" s="698"/>
      <c r="N62" s="698"/>
      <c r="O62" s="698"/>
      <c r="P62" s="699"/>
    </row>
    <row r="63" spans="1:16" ht="39.75" customHeight="1" x14ac:dyDescent="0.25">
      <c r="A63" s="582">
        <f t="shared" si="0"/>
        <v>50</v>
      </c>
      <c r="B63" s="583">
        <v>43831</v>
      </c>
      <c r="C63" s="582">
        <v>3</v>
      </c>
      <c r="D63" s="584" t="s">
        <v>12</v>
      </c>
      <c r="E63" s="585" t="s">
        <v>230</v>
      </c>
      <c r="F63" s="586"/>
      <c r="G63" s="586"/>
      <c r="H63" s="583">
        <v>43831</v>
      </c>
      <c r="I63" s="582">
        <v>1</v>
      </c>
      <c r="J63" s="906" t="s">
        <v>12</v>
      </c>
      <c r="K63" s="698"/>
      <c r="L63" s="698"/>
      <c r="M63" s="698"/>
      <c r="N63" s="698"/>
      <c r="O63" s="698"/>
      <c r="P63" s="699"/>
    </row>
    <row r="64" spans="1: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5">
    <mergeCell ref="J24:P24"/>
    <mergeCell ref="J25:P25"/>
    <mergeCell ref="J26:P26"/>
    <mergeCell ref="J27:P27"/>
    <mergeCell ref="J28:P28"/>
    <mergeCell ref="J19:P19"/>
    <mergeCell ref="J20:P20"/>
    <mergeCell ref="J21:P21"/>
    <mergeCell ref="J22:P22"/>
    <mergeCell ref="J23:P23"/>
    <mergeCell ref="J14:P14"/>
    <mergeCell ref="J15:P15"/>
    <mergeCell ref="J16:P16"/>
    <mergeCell ref="J17:P17"/>
    <mergeCell ref="J18:P18"/>
    <mergeCell ref="A10:P10"/>
    <mergeCell ref="A11:P11"/>
    <mergeCell ref="B12:E12"/>
    <mergeCell ref="H12:P12"/>
    <mergeCell ref="J13:P13"/>
    <mergeCell ref="A5:P5"/>
    <mergeCell ref="A6:D6"/>
    <mergeCell ref="J6:P6"/>
    <mergeCell ref="H7:I7"/>
    <mergeCell ref="H8:I8"/>
    <mergeCell ref="E8:G9"/>
    <mergeCell ref="H9:I9"/>
    <mergeCell ref="E6:G6"/>
    <mergeCell ref="H6:I6"/>
    <mergeCell ref="A7:D7"/>
    <mergeCell ref="E7:G7"/>
    <mergeCell ref="J7:P7"/>
    <mergeCell ref="A8:D9"/>
    <mergeCell ref="J8:P8"/>
    <mergeCell ref="J9:P9"/>
    <mergeCell ref="B1:E1"/>
    <mergeCell ref="H1:P1"/>
    <mergeCell ref="A2:P2"/>
    <mergeCell ref="A3:P3"/>
    <mergeCell ref="A4:P4"/>
    <mergeCell ref="J61:P61"/>
    <mergeCell ref="J62:P62"/>
    <mergeCell ref="J63:P63"/>
    <mergeCell ref="J50:P50"/>
    <mergeCell ref="J51:P51"/>
    <mergeCell ref="J52:P52"/>
    <mergeCell ref="J53:P53"/>
    <mergeCell ref="J54:P54"/>
    <mergeCell ref="J55:P55"/>
    <mergeCell ref="J56:P56"/>
    <mergeCell ref="J49:P49"/>
    <mergeCell ref="J57:P57"/>
    <mergeCell ref="J58:P58"/>
    <mergeCell ref="J59:P59"/>
    <mergeCell ref="J60:P60"/>
    <mergeCell ref="J44:P44"/>
    <mergeCell ref="J45:P45"/>
    <mergeCell ref="J46:P46"/>
    <mergeCell ref="J47:P47"/>
    <mergeCell ref="J48:P48"/>
    <mergeCell ref="J39:P39"/>
    <mergeCell ref="J40:P40"/>
    <mergeCell ref="J41:P41"/>
    <mergeCell ref="J42:P42"/>
    <mergeCell ref="J43:P43"/>
    <mergeCell ref="J34:P34"/>
    <mergeCell ref="J35:P35"/>
    <mergeCell ref="J36:P36"/>
    <mergeCell ref="J37:P37"/>
    <mergeCell ref="J38:P38"/>
    <mergeCell ref="J29:P29"/>
    <mergeCell ref="J30:P30"/>
    <mergeCell ref="J31:P31"/>
    <mergeCell ref="J32:P32"/>
    <mergeCell ref="J33:P33"/>
  </mergeCells>
  <dataValidations count="1">
    <dataValidation type="date" allowBlank="1" showInputMessage="1" showErrorMessage="1" prompt="Use MM/DD/YYYY format.  If date not needed leave blank. " sqref="B14:B63 H14:H63" xr:uid="{00000000-0002-0000-1700-000000000000}">
      <formula1>43709</formula1>
      <formula2>45930</formula2>
    </dataValidation>
  </dataValidations>
  <pageMargins left="0.25" right="0.25" top="0.75" bottom="0.75" header="0" footer="0"/>
  <pageSetup paperSize="5"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sheetPr>
  <dimension ref="A1:AM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4.7109375" customWidth="1"/>
    <col min="2" max="25" width="5.7109375" customWidth="1"/>
    <col min="26" max="26" width="9" customWidth="1"/>
    <col min="27" max="42" width="5.7109375" customWidth="1"/>
    <col min="43" max="59" width="8.7109375" customWidth="1"/>
  </cols>
  <sheetData>
    <row r="1" spans="1:37" ht="15.75" x14ac:dyDescent="0.25">
      <c r="A1" s="909" t="str">
        <f>'BASE GRANTEE INFO &amp; UPDATES'!A1</f>
        <v>WV Bureau For Behavioral Health - Harm Reduction 2025</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6"/>
    </row>
    <row r="2" spans="1:37" ht="15.75" x14ac:dyDescent="0.25">
      <c r="A2" s="910">
        <f>'BASE GRANTEE INFO &amp; UPDATES'!A2</f>
        <v>0</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78"/>
    </row>
    <row r="3" spans="1:37" ht="15.75" x14ac:dyDescent="0.25">
      <c r="A3" s="925" t="str">
        <f>'BASE GRANTEE INFO &amp; UPDATES'!A3</f>
        <v xml:space="preserve">Program reports need to be submitted electronically, via e-mail to BBHReporting@wv.gov  within 25 calendar days of the end of each month </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2"/>
    </row>
    <row r="4" spans="1:37" ht="19.5" customHeight="1" x14ac:dyDescent="0.25">
      <c r="A4" s="926" t="s">
        <v>598</v>
      </c>
      <c r="B4" s="698"/>
      <c r="C4" s="698"/>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9"/>
    </row>
    <row r="5" spans="1:37" ht="19.5" customHeight="1" x14ac:dyDescent="0.25">
      <c r="A5" s="916" t="s">
        <v>599</v>
      </c>
      <c r="B5" s="698"/>
      <c r="C5" s="698"/>
      <c r="D5" s="698"/>
      <c r="E5" s="698"/>
      <c r="F5" s="698"/>
      <c r="G5" s="698"/>
      <c r="H5" s="698"/>
      <c r="I5" s="699"/>
      <c r="J5" s="927" t="str">
        <f>'BASE GRANTEE INFO &amp; UPDATES'!E5</f>
        <v>Harm Reduction Program</v>
      </c>
      <c r="K5" s="698"/>
      <c r="L5" s="698"/>
      <c r="M5" s="698"/>
      <c r="N5" s="698"/>
      <c r="O5" s="698"/>
      <c r="P5" s="698"/>
      <c r="Q5" s="698"/>
      <c r="R5" s="699"/>
      <c r="S5" s="928" t="s">
        <v>0</v>
      </c>
      <c r="T5" s="698"/>
      <c r="U5" s="698"/>
      <c r="V5" s="698"/>
      <c r="W5" s="698"/>
      <c r="X5" s="698"/>
      <c r="Y5" s="698"/>
      <c r="Z5" s="699"/>
      <c r="AA5" s="929">
        <f>'BASE GRANTEE INFO &amp; UPDATES'!M5</f>
        <v>0</v>
      </c>
      <c r="AB5" s="698"/>
      <c r="AC5" s="698"/>
      <c r="AD5" s="698"/>
      <c r="AE5" s="698"/>
      <c r="AF5" s="698"/>
      <c r="AG5" s="698"/>
      <c r="AH5" s="698"/>
      <c r="AI5" s="698"/>
      <c r="AJ5" s="699"/>
    </row>
    <row r="6" spans="1:37" ht="19.5" customHeight="1" x14ac:dyDescent="0.25">
      <c r="A6" s="916" t="s">
        <v>600</v>
      </c>
      <c r="B6" s="698"/>
      <c r="C6" s="698"/>
      <c r="D6" s="698"/>
      <c r="E6" s="698"/>
      <c r="F6" s="698"/>
      <c r="G6" s="698"/>
      <c r="H6" s="698"/>
      <c r="I6" s="699"/>
      <c r="J6" s="932">
        <f>'BASE GRANTEE INFO &amp; UPDATES'!E6</f>
        <v>0</v>
      </c>
      <c r="K6" s="698"/>
      <c r="L6" s="698"/>
      <c r="M6" s="698"/>
      <c r="N6" s="698"/>
      <c r="O6" s="698"/>
      <c r="P6" s="698"/>
      <c r="Q6" s="698"/>
      <c r="R6" s="699"/>
      <c r="S6" s="928" t="s">
        <v>1</v>
      </c>
      <c r="T6" s="698"/>
      <c r="U6" s="698"/>
      <c r="V6" s="698"/>
      <c r="W6" s="698"/>
      <c r="X6" s="698"/>
      <c r="Y6" s="698"/>
      <c r="Z6" s="699"/>
      <c r="AA6" s="929">
        <f>'BASE GRANTEE INFO &amp; UPDATES'!M6</f>
        <v>0</v>
      </c>
      <c r="AB6" s="698"/>
      <c r="AC6" s="698"/>
      <c r="AD6" s="698"/>
      <c r="AE6" s="698"/>
      <c r="AF6" s="698"/>
      <c r="AG6" s="698"/>
      <c r="AH6" s="698"/>
      <c r="AI6" s="698"/>
      <c r="AJ6" s="699"/>
    </row>
    <row r="7" spans="1:37" ht="19.5" customHeight="1" x14ac:dyDescent="0.25">
      <c r="A7" s="933" t="s">
        <v>2</v>
      </c>
      <c r="B7" s="698"/>
      <c r="C7" s="698"/>
      <c r="D7" s="698"/>
      <c r="E7" s="698"/>
      <c r="F7" s="698"/>
      <c r="G7" s="698"/>
      <c r="H7" s="698"/>
      <c r="I7" s="699"/>
      <c r="J7" s="930">
        <f>'BASE GRANTEE INFO &amp; UPDATES'!E7</f>
        <v>0</v>
      </c>
      <c r="K7" s="766"/>
      <c r="L7" s="766"/>
      <c r="M7" s="766"/>
      <c r="N7" s="766"/>
      <c r="O7" s="766"/>
      <c r="P7" s="766"/>
      <c r="Q7" s="766"/>
      <c r="R7" s="767"/>
      <c r="S7" s="928" t="s">
        <v>3</v>
      </c>
      <c r="T7" s="698"/>
      <c r="U7" s="698"/>
      <c r="V7" s="698"/>
      <c r="W7" s="698"/>
      <c r="X7" s="698"/>
      <c r="Y7" s="698"/>
      <c r="Z7" s="699"/>
      <c r="AA7" s="929">
        <f>'BASE GRANTEE INFO &amp; UPDATES'!M7</f>
        <v>0</v>
      </c>
      <c r="AB7" s="698"/>
      <c r="AC7" s="698"/>
      <c r="AD7" s="698"/>
      <c r="AE7" s="698"/>
      <c r="AF7" s="698"/>
      <c r="AG7" s="698"/>
      <c r="AH7" s="698"/>
      <c r="AI7" s="698"/>
      <c r="AJ7" s="699"/>
    </row>
    <row r="8" spans="1:37" ht="19.5" customHeight="1" x14ac:dyDescent="0.25">
      <c r="A8" s="933"/>
      <c r="B8" s="698"/>
      <c r="C8" s="698"/>
      <c r="D8" s="698"/>
      <c r="E8" s="698"/>
      <c r="F8" s="698"/>
      <c r="G8" s="698"/>
      <c r="H8" s="698"/>
      <c r="I8" s="699"/>
      <c r="J8" s="768"/>
      <c r="K8" s="769"/>
      <c r="L8" s="769"/>
      <c r="M8" s="769"/>
      <c r="N8" s="769"/>
      <c r="O8" s="769"/>
      <c r="P8" s="769"/>
      <c r="Q8" s="769"/>
      <c r="R8" s="770"/>
      <c r="S8" s="931" t="s">
        <v>601</v>
      </c>
      <c r="T8" s="698"/>
      <c r="U8" s="698"/>
      <c r="V8" s="698"/>
      <c r="W8" s="698"/>
      <c r="X8" s="698"/>
      <c r="Y8" s="698"/>
      <c r="Z8" s="699"/>
      <c r="AA8" s="929">
        <f>'BASE GRANTEE INFO &amp; UPDATES'!M8</f>
        <v>0</v>
      </c>
      <c r="AB8" s="698"/>
      <c r="AC8" s="698"/>
      <c r="AD8" s="698"/>
      <c r="AE8" s="698"/>
      <c r="AF8" s="698"/>
      <c r="AG8" s="698"/>
      <c r="AH8" s="698"/>
      <c r="AI8" s="698"/>
      <c r="AJ8" s="699"/>
    </row>
    <row r="9" spans="1:37" x14ac:dyDescent="0.25">
      <c r="A9" s="916" t="s">
        <v>602</v>
      </c>
      <c r="B9" s="698"/>
      <c r="C9" s="698"/>
      <c r="D9" s="698"/>
      <c r="E9" s="698"/>
      <c r="F9" s="698"/>
      <c r="G9" s="698"/>
      <c r="H9" s="698"/>
      <c r="I9" s="699"/>
      <c r="J9" s="791" t="str">
        <f>'BASE GRANTEE INFO &amp; UPDATES'!E9</f>
        <v>September 1 - 30</v>
      </c>
      <c r="K9" s="698"/>
      <c r="L9" s="698"/>
      <c r="M9" s="698"/>
      <c r="N9" s="699"/>
      <c r="O9" s="934">
        <f>'BASE GRANTEE INFO &amp; UPDATES'!G9</f>
        <v>2024</v>
      </c>
      <c r="P9" s="698"/>
      <c r="Q9" s="698"/>
      <c r="R9" s="699"/>
      <c r="S9" s="931" t="s">
        <v>603</v>
      </c>
      <c r="T9" s="698"/>
      <c r="U9" s="698"/>
      <c r="V9" s="698"/>
      <c r="W9" s="698"/>
      <c r="X9" s="698"/>
      <c r="Y9" s="698"/>
      <c r="Z9" s="699"/>
      <c r="AA9" s="929">
        <f>'BASE GRANTEE INFO &amp; UPDATES'!M9</f>
        <v>0</v>
      </c>
      <c r="AB9" s="698"/>
      <c r="AC9" s="698"/>
      <c r="AD9" s="698"/>
      <c r="AE9" s="698"/>
      <c r="AF9" s="698"/>
      <c r="AG9" s="698"/>
      <c r="AH9" s="698"/>
      <c r="AI9" s="698"/>
      <c r="AJ9" s="699"/>
    </row>
    <row r="10" spans="1:37" ht="18.75" x14ac:dyDescent="0.25">
      <c r="A10" s="926" t="s">
        <v>604</v>
      </c>
      <c r="B10" s="698"/>
      <c r="C10" s="698"/>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9"/>
    </row>
    <row r="12" spans="1:37" ht="30" customHeight="1" x14ac:dyDescent="0.25">
      <c r="A12" s="922" t="s">
        <v>605</v>
      </c>
      <c r="B12" s="708"/>
      <c r="C12" s="708"/>
      <c r="D12" s="708"/>
      <c r="E12" s="708"/>
      <c r="F12" s="708"/>
      <c r="G12" s="708"/>
      <c r="H12" s="708"/>
      <c r="I12" s="708"/>
      <c r="J12" s="708"/>
      <c r="K12" s="708"/>
      <c r="L12" s="708"/>
      <c r="M12" s="708"/>
      <c r="N12" s="708"/>
      <c r="O12" s="708"/>
      <c r="P12" s="708"/>
      <c r="Q12" s="708"/>
      <c r="R12" s="708"/>
      <c r="S12" s="708"/>
      <c r="T12" s="708"/>
      <c r="U12" s="708"/>
      <c r="V12" s="708"/>
      <c r="W12" s="708"/>
      <c r="X12" s="708"/>
      <c r="Y12" s="708"/>
      <c r="Z12" s="708"/>
      <c r="AA12" s="708"/>
      <c r="AB12" s="708"/>
      <c r="AC12" s="708"/>
      <c r="AD12" s="708"/>
      <c r="AE12" s="708"/>
      <c r="AF12" s="708"/>
      <c r="AG12" s="708"/>
      <c r="AH12" s="708"/>
      <c r="AI12" s="708"/>
      <c r="AJ12" s="709"/>
    </row>
    <row r="13" spans="1:37" x14ac:dyDescent="0.25">
      <c r="AK13" s="587"/>
    </row>
    <row r="14" spans="1:37" ht="15.75" customHeight="1" x14ac:dyDescent="0.25">
      <c r="D14" s="923" t="s">
        <v>606</v>
      </c>
      <c r="E14" s="698"/>
      <c r="F14" s="698"/>
      <c r="G14" s="698"/>
      <c r="H14" s="698"/>
      <c r="I14" s="698"/>
      <c r="J14" s="698"/>
      <c r="K14" s="698"/>
      <c r="L14" s="698"/>
      <c r="M14" s="698"/>
      <c r="N14" s="698"/>
      <c r="O14" s="698"/>
      <c r="P14" s="698"/>
      <c r="Q14" s="698"/>
      <c r="R14" s="698"/>
      <c r="S14" s="698"/>
      <c r="T14" s="698"/>
      <c r="U14" s="698"/>
      <c r="V14" s="698"/>
      <c r="W14" s="698"/>
      <c r="X14" s="698"/>
      <c r="Y14" s="698"/>
      <c r="Z14" s="698"/>
      <c r="AA14" s="698"/>
      <c r="AB14" s="698"/>
      <c r="AC14" s="698"/>
      <c r="AD14" s="698"/>
      <c r="AE14" s="698"/>
      <c r="AF14" s="698"/>
      <c r="AG14" s="698"/>
      <c r="AH14" s="699"/>
      <c r="AK14" s="587"/>
    </row>
    <row r="15" spans="1:37" ht="15.75" customHeight="1" x14ac:dyDescent="0.25">
      <c r="D15" s="924" t="s">
        <v>607</v>
      </c>
      <c r="E15" s="698"/>
      <c r="F15" s="699"/>
      <c r="G15" s="920" t="e">
        <f>'BASE GRANTEE INFO &amp; UPDATES'!#REF!</f>
        <v>#REF!</v>
      </c>
      <c r="H15" s="699"/>
      <c r="I15" s="921" t="e">
        <f>'BASE GRANTEE INFO &amp; UPDATES'!#REF!</f>
        <v>#REF!</v>
      </c>
      <c r="J15" s="699"/>
      <c r="K15" s="920" t="e">
        <f>'BASE GRANTEE INFO &amp; UPDATES'!#REF!</f>
        <v>#REF!</v>
      </c>
      <c r="L15" s="699"/>
      <c r="M15" s="921" t="e">
        <f>'BASE GRANTEE INFO &amp; UPDATES'!#REF!</f>
        <v>#REF!</v>
      </c>
      <c r="N15" s="699"/>
      <c r="O15" s="920" t="e">
        <f>'BASE GRANTEE INFO &amp; UPDATES'!#REF!</f>
        <v>#REF!</v>
      </c>
      <c r="P15" s="699"/>
      <c r="Q15" s="921" t="e">
        <f>'BASE GRANTEE INFO &amp; UPDATES'!#REF!</f>
        <v>#REF!</v>
      </c>
      <c r="R15" s="699"/>
      <c r="S15" s="920" t="e">
        <f>'BASE GRANTEE INFO &amp; UPDATES'!#REF!</f>
        <v>#REF!</v>
      </c>
      <c r="T15" s="699"/>
      <c r="U15" s="921" t="e">
        <f>'BASE GRANTEE INFO &amp; UPDATES'!#REF!</f>
        <v>#REF!</v>
      </c>
      <c r="V15" s="699"/>
      <c r="W15" s="920" t="e">
        <f>'BASE GRANTEE INFO &amp; UPDATES'!#REF!</f>
        <v>#REF!</v>
      </c>
      <c r="X15" s="699"/>
      <c r="Y15" s="921" t="e">
        <f>'BASE GRANTEE INFO &amp; UPDATES'!#REF!</f>
        <v>#REF!</v>
      </c>
      <c r="Z15" s="699"/>
      <c r="AA15" s="920" t="e">
        <f>'BASE GRANTEE INFO &amp; UPDATES'!#REF!</f>
        <v>#REF!</v>
      </c>
      <c r="AB15" s="699"/>
      <c r="AC15" s="921" t="e">
        <f>'BASE GRANTEE INFO &amp; UPDATES'!#REF!</f>
        <v>#REF!</v>
      </c>
      <c r="AD15" s="699"/>
      <c r="AE15" s="920" t="e">
        <f>'BASE GRANTEE INFO &amp; UPDATES'!#REF!</f>
        <v>#REF!</v>
      </c>
      <c r="AF15" s="699"/>
      <c r="AG15" s="921" t="e">
        <f>'BASE GRANTEE INFO &amp; UPDATES'!#REF!</f>
        <v>#REF!</v>
      </c>
      <c r="AH15" s="699"/>
      <c r="AK15" s="587"/>
    </row>
    <row r="16" spans="1:37" x14ac:dyDescent="0.25">
      <c r="D16" s="936" t="s">
        <v>608</v>
      </c>
      <c r="E16" s="698"/>
      <c r="F16" s="699"/>
      <c r="G16" s="937" t="e">
        <f>'BASE GRANTEE INFO &amp; UPDATES'!#REF!</f>
        <v>#REF!</v>
      </c>
      <c r="H16" s="699"/>
      <c r="I16" s="938" t="e">
        <f>'BASE GRANTEE INFO &amp; UPDATES'!#REF!</f>
        <v>#REF!</v>
      </c>
      <c r="J16" s="699"/>
      <c r="K16" s="939" t="e">
        <f>'BASE GRANTEE INFO &amp; UPDATES'!#REF!</f>
        <v>#REF!</v>
      </c>
      <c r="L16" s="699"/>
      <c r="M16" s="938" t="e">
        <f>'BASE GRANTEE INFO &amp; UPDATES'!#REF!</f>
        <v>#REF!</v>
      </c>
      <c r="N16" s="699"/>
      <c r="O16" s="939" t="e">
        <f>'BASE GRANTEE INFO &amp; UPDATES'!#REF!</f>
        <v>#REF!</v>
      </c>
      <c r="P16" s="699"/>
      <c r="Q16" s="938" t="e">
        <f>'BASE GRANTEE INFO &amp; UPDATES'!#REF!</f>
        <v>#REF!</v>
      </c>
      <c r="R16" s="699"/>
      <c r="S16" s="919" t="e">
        <f>'BASE GRANTEE INFO &amp; UPDATES'!#REF!</f>
        <v>#REF!</v>
      </c>
      <c r="T16" s="699"/>
      <c r="U16" s="935" t="e">
        <f>'BASE GRANTEE INFO &amp; UPDATES'!#REF!</f>
        <v>#REF!</v>
      </c>
      <c r="V16" s="699"/>
      <c r="W16" s="919" t="e">
        <f>'BASE GRANTEE INFO &amp; UPDATES'!#REF!</f>
        <v>#REF!</v>
      </c>
      <c r="X16" s="699"/>
      <c r="Y16" s="935" t="e">
        <f>'BASE GRANTEE INFO &amp; UPDATES'!#REF!</f>
        <v>#REF!</v>
      </c>
      <c r="Z16" s="699"/>
      <c r="AA16" s="919" t="e">
        <f>'BASE GRANTEE INFO &amp; UPDATES'!#REF!</f>
        <v>#REF!</v>
      </c>
      <c r="AB16" s="699"/>
      <c r="AC16" s="935" t="e">
        <f>'BASE GRANTEE INFO &amp; UPDATES'!#REF!</f>
        <v>#REF!</v>
      </c>
      <c r="AD16" s="699"/>
      <c r="AE16" s="919" t="e">
        <f>'BASE GRANTEE INFO &amp; UPDATES'!#REF!</f>
        <v>#REF!</v>
      </c>
      <c r="AF16" s="699"/>
      <c r="AG16" s="935" t="e">
        <f>'BASE GRANTEE INFO &amp; UPDATES'!#REF!</f>
        <v>#REF!</v>
      </c>
      <c r="AH16" s="699"/>
      <c r="AK16" s="587"/>
    </row>
    <row r="17" spans="1:39" x14ac:dyDescent="0.25">
      <c r="D17" s="936" t="s">
        <v>609</v>
      </c>
      <c r="E17" s="698"/>
      <c r="F17" s="699"/>
      <c r="G17" s="937" t="e">
        <f>'BASE GRANTEE INFO &amp; UPDATES'!#REF!</f>
        <v>#REF!</v>
      </c>
      <c r="H17" s="699"/>
      <c r="I17" s="938" t="e">
        <f>'BASE GRANTEE INFO &amp; UPDATES'!#REF!</f>
        <v>#REF!</v>
      </c>
      <c r="J17" s="699"/>
      <c r="K17" s="939" t="e">
        <f>'BASE GRANTEE INFO &amp; UPDATES'!#REF!</f>
        <v>#REF!</v>
      </c>
      <c r="L17" s="699"/>
      <c r="M17" s="938" t="e">
        <f>'BASE GRANTEE INFO &amp; UPDATES'!#REF!</f>
        <v>#REF!</v>
      </c>
      <c r="N17" s="699"/>
      <c r="O17" s="939" t="e">
        <f>'BASE GRANTEE INFO &amp; UPDATES'!#REF!</f>
        <v>#REF!</v>
      </c>
      <c r="P17" s="699"/>
      <c r="Q17" s="938" t="e">
        <f>'BASE GRANTEE INFO &amp; UPDATES'!#REF!</f>
        <v>#REF!</v>
      </c>
      <c r="R17" s="699"/>
      <c r="S17" s="919" t="e">
        <f>'BASE GRANTEE INFO &amp; UPDATES'!#REF!</f>
        <v>#REF!</v>
      </c>
      <c r="T17" s="699"/>
      <c r="U17" s="935" t="e">
        <f>'BASE GRANTEE INFO &amp; UPDATES'!#REF!</f>
        <v>#REF!</v>
      </c>
      <c r="V17" s="699"/>
      <c r="W17" s="919" t="e">
        <f>'BASE GRANTEE INFO &amp; UPDATES'!#REF!</f>
        <v>#REF!</v>
      </c>
      <c r="X17" s="699"/>
      <c r="Y17" s="935" t="e">
        <f>'BASE GRANTEE INFO &amp; UPDATES'!#REF!</f>
        <v>#REF!</v>
      </c>
      <c r="Z17" s="699"/>
      <c r="AA17" s="919" t="e">
        <f>'BASE GRANTEE INFO &amp; UPDATES'!#REF!</f>
        <v>#REF!</v>
      </c>
      <c r="AB17" s="699"/>
      <c r="AC17" s="935" t="e">
        <f>'BASE GRANTEE INFO &amp; UPDATES'!#REF!</f>
        <v>#REF!</v>
      </c>
      <c r="AD17" s="699"/>
      <c r="AE17" s="919" t="e">
        <f>'BASE GRANTEE INFO &amp; UPDATES'!#REF!</f>
        <v>#REF!</v>
      </c>
      <c r="AF17" s="699"/>
      <c r="AG17" s="935" t="e">
        <f>'BASE GRANTEE INFO &amp; UPDATES'!#REF!</f>
        <v>#REF!</v>
      </c>
      <c r="AH17" s="699"/>
      <c r="AK17" s="587"/>
    </row>
    <row r="18" spans="1:39" x14ac:dyDescent="0.25">
      <c r="AK18" s="587"/>
    </row>
    <row r="19" spans="1:39" x14ac:dyDescent="0.25">
      <c r="AH19" s="588"/>
      <c r="AI19" s="588"/>
      <c r="AJ19" s="588"/>
      <c r="AK19" s="587"/>
      <c r="AL19" s="588"/>
      <c r="AM19" s="588"/>
    </row>
    <row r="20" spans="1:39" ht="30" customHeight="1" x14ac:dyDescent="0.25">
      <c r="A20" s="940" t="s">
        <v>9</v>
      </c>
      <c r="B20" s="708"/>
      <c r="C20" s="708"/>
      <c r="D20" s="708"/>
      <c r="E20" s="708"/>
      <c r="F20" s="708"/>
      <c r="G20" s="708"/>
      <c r="H20" s="708"/>
      <c r="I20" s="708"/>
      <c r="J20" s="708"/>
      <c r="K20" s="708"/>
      <c r="L20" s="708"/>
      <c r="M20" s="708"/>
      <c r="N20" s="708"/>
      <c r="O20" s="708"/>
      <c r="P20" s="708"/>
      <c r="Q20" s="709"/>
    </row>
    <row r="21" spans="1:39" ht="15.75" customHeight="1" x14ac:dyDescent="0.3">
      <c r="A21" s="941" t="s">
        <v>610</v>
      </c>
      <c r="B21" s="708"/>
      <c r="C21" s="708"/>
      <c r="D21" s="708"/>
      <c r="E21" s="708"/>
      <c r="F21" s="708"/>
      <c r="G21" s="708"/>
      <c r="H21" s="708"/>
      <c r="I21" s="708"/>
      <c r="J21" s="708"/>
      <c r="K21" s="708"/>
      <c r="L21" s="708"/>
      <c r="M21" s="708"/>
      <c r="N21" s="708"/>
      <c r="O21" s="708"/>
      <c r="P21" s="708"/>
      <c r="Q21" s="708"/>
      <c r="R21" s="708"/>
      <c r="S21" s="708"/>
      <c r="T21" s="708"/>
      <c r="U21" s="708"/>
      <c r="V21" s="708"/>
      <c r="W21" s="708"/>
      <c r="X21" s="708"/>
      <c r="Y21" s="708"/>
      <c r="Z21" s="708"/>
      <c r="AA21" s="708"/>
      <c r="AB21" s="708"/>
      <c r="AC21" s="708"/>
      <c r="AD21" s="708"/>
      <c r="AE21" s="708"/>
      <c r="AF21" s="708"/>
      <c r="AG21" s="708"/>
      <c r="AH21" s="708"/>
      <c r="AI21" s="708"/>
      <c r="AJ21" s="708"/>
      <c r="AK21" s="708"/>
      <c r="AL21" s="708"/>
      <c r="AM21" s="709"/>
    </row>
    <row r="22" spans="1:39" ht="15.75" customHeight="1" x14ac:dyDescent="0.25">
      <c r="A22" s="12"/>
      <c r="B22" s="12"/>
      <c r="C22" s="942" t="s">
        <v>611</v>
      </c>
      <c r="D22" s="708"/>
      <c r="E22" s="708"/>
      <c r="F22" s="708"/>
      <c r="G22" s="708"/>
      <c r="H22" s="708"/>
      <c r="I22" s="708"/>
      <c r="J22" s="708"/>
      <c r="K22" s="708"/>
      <c r="L22" s="708"/>
      <c r="M22" s="708"/>
      <c r="N22" s="708"/>
      <c r="O22" s="708"/>
      <c r="P22" s="708"/>
      <c r="Q22" s="708"/>
      <c r="R22" s="708"/>
      <c r="S22" s="708"/>
      <c r="T22" s="708"/>
      <c r="U22" s="708"/>
      <c r="V22" s="708"/>
      <c r="W22" s="708"/>
      <c r="X22" s="708"/>
      <c r="Y22" s="708"/>
      <c r="Z22" s="709"/>
      <c r="AA22" s="12"/>
      <c r="AB22" s="942" t="s">
        <v>612</v>
      </c>
      <c r="AC22" s="708"/>
      <c r="AD22" s="708"/>
      <c r="AE22" s="708"/>
      <c r="AF22" s="708"/>
      <c r="AG22" s="708"/>
      <c r="AH22" s="708"/>
      <c r="AI22" s="708"/>
      <c r="AJ22" s="708"/>
      <c r="AK22" s="708"/>
      <c r="AL22" s="708"/>
      <c r="AM22" s="709"/>
    </row>
    <row r="23" spans="1:39" ht="45" customHeight="1" x14ac:dyDescent="0.25">
      <c r="A23" s="943" t="s">
        <v>613</v>
      </c>
      <c r="B23" s="714"/>
      <c r="C23" s="944" t="s">
        <v>614</v>
      </c>
      <c r="D23" s="698"/>
      <c r="E23" s="945"/>
      <c r="F23" s="944" t="s">
        <v>615</v>
      </c>
      <c r="G23" s="698"/>
      <c r="H23" s="945"/>
      <c r="I23" s="944" t="s">
        <v>616</v>
      </c>
      <c r="J23" s="698"/>
      <c r="K23" s="714"/>
      <c r="L23" s="944" t="s">
        <v>617</v>
      </c>
      <c r="M23" s="698"/>
      <c r="N23" s="714"/>
      <c r="O23" s="944" t="s">
        <v>618</v>
      </c>
      <c r="P23" s="698"/>
      <c r="Q23" s="945"/>
      <c r="R23" s="944" t="s">
        <v>619</v>
      </c>
      <c r="S23" s="698"/>
      <c r="T23" s="945"/>
      <c r="U23" s="944" t="s">
        <v>620</v>
      </c>
      <c r="V23" s="698"/>
      <c r="W23" s="714"/>
      <c r="X23" s="953" t="s">
        <v>621</v>
      </c>
      <c r="Y23" s="698"/>
      <c r="Z23" s="699"/>
      <c r="AA23" s="589"/>
      <c r="AB23" s="954" t="s">
        <v>622</v>
      </c>
      <c r="AC23" s="698"/>
      <c r="AD23" s="714"/>
      <c r="AE23" s="955" t="s">
        <v>623</v>
      </c>
      <c r="AF23" s="698"/>
      <c r="AG23" s="714"/>
      <c r="AH23" s="955" t="s">
        <v>620</v>
      </c>
      <c r="AI23" s="698"/>
      <c r="AJ23" s="714"/>
      <c r="AK23" s="956" t="s">
        <v>621</v>
      </c>
      <c r="AL23" s="698"/>
      <c r="AM23" s="699"/>
    </row>
    <row r="24" spans="1:39" ht="30" customHeight="1" x14ac:dyDescent="0.25">
      <c r="A24" s="943" t="s">
        <v>624</v>
      </c>
      <c r="B24" s="714"/>
      <c r="C24" s="590" t="s">
        <v>625</v>
      </c>
      <c r="D24" s="591" t="s">
        <v>626</v>
      </c>
      <c r="E24" s="592" t="s">
        <v>627</v>
      </c>
      <c r="F24" s="590" t="s">
        <v>625</v>
      </c>
      <c r="G24" s="591" t="s">
        <v>626</v>
      </c>
      <c r="H24" s="593" t="s">
        <v>627</v>
      </c>
      <c r="I24" s="590" t="s">
        <v>625</v>
      </c>
      <c r="J24" s="591" t="s">
        <v>626</v>
      </c>
      <c r="K24" s="593" t="s">
        <v>627</v>
      </c>
      <c r="L24" s="590" t="s">
        <v>625</v>
      </c>
      <c r="M24" s="591" t="s">
        <v>626</v>
      </c>
      <c r="N24" s="593" t="s">
        <v>627</v>
      </c>
      <c r="O24" s="590" t="s">
        <v>625</v>
      </c>
      <c r="P24" s="591" t="s">
        <v>626</v>
      </c>
      <c r="Q24" s="593" t="s">
        <v>627</v>
      </c>
      <c r="R24" s="590" t="s">
        <v>625</v>
      </c>
      <c r="S24" s="591" t="s">
        <v>626</v>
      </c>
      <c r="T24" s="593" t="s">
        <v>627</v>
      </c>
      <c r="U24" s="590" t="s">
        <v>625</v>
      </c>
      <c r="V24" s="591" t="s">
        <v>626</v>
      </c>
      <c r="W24" s="593" t="s">
        <v>627</v>
      </c>
      <c r="X24" s="594" t="s">
        <v>625</v>
      </c>
      <c r="Y24" s="595" t="s">
        <v>626</v>
      </c>
      <c r="Z24" s="596" t="s">
        <v>627</v>
      </c>
      <c r="AA24" s="597" t="s">
        <v>199</v>
      </c>
      <c r="AB24" s="414" t="s">
        <v>625</v>
      </c>
      <c r="AC24" s="598" t="s">
        <v>626</v>
      </c>
      <c r="AD24" s="599" t="s">
        <v>627</v>
      </c>
      <c r="AE24" s="600" t="s">
        <v>625</v>
      </c>
      <c r="AF24" s="598" t="s">
        <v>626</v>
      </c>
      <c r="AG24" s="599" t="s">
        <v>627</v>
      </c>
      <c r="AH24" s="600" t="s">
        <v>625</v>
      </c>
      <c r="AI24" s="598" t="s">
        <v>626</v>
      </c>
      <c r="AJ24" s="601" t="s">
        <v>627</v>
      </c>
      <c r="AK24" s="602" t="s">
        <v>625</v>
      </c>
      <c r="AL24" s="603" t="s">
        <v>626</v>
      </c>
      <c r="AM24" s="604" t="s">
        <v>627</v>
      </c>
    </row>
    <row r="25" spans="1:39" ht="15.75" customHeight="1" x14ac:dyDescent="0.25">
      <c r="A25" s="966" t="s">
        <v>628</v>
      </c>
      <c r="B25" s="714"/>
      <c r="C25" s="605" t="e">
        <f>COUNTIFS(#REF!,"&gt;=0",#REF!,"&lt;=12",#REF!,"White",#REF!,"Male")</f>
        <v>#REF!</v>
      </c>
      <c r="D25" s="606" t="e">
        <f>COUNTIFS(#REF!,"&gt;=0",#REF!,"&lt;=12",#REF!,"White",#REF!,"Female",#REF!,"NO")</f>
        <v>#REF!</v>
      </c>
      <c r="E25" s="607" t="e">
        <f>COUNTIFS(#REF!,"&gt;=0",#REF!,"&lt;=12",#REF!,"White",#REF!,"Transgender")</f>
        <v>#REF!</v>
      </c>
      <c r="F25" s="608" t="e">
        <f>COUNTIFS(#REF!,"&gt;=0",#REF!,"&lt;=12",#REF!,"African American /Black",#REF!,"Male")</f>
        <v>#REF!</v>
      </c>
      <c r="G25" s="606" t="e">
        <f>COUNTIFS(#REF!,"&gt;=0",#REF!,"&lt;=12",#REF!,"African American /Black",#REF!,"Female",#REF!,"NO")</f>
        <v>#REF!</v>
      </c>
      <c r="H25" s="609" t="e">
        <f>COUNTIFS(#REF!,"&gt;=0",#REF!,"&lt;=12",#REF!,"African American /Black",#REF!,"Female")</f>
        <v>#REF!</v>
      </c>
      <c r="I25" s="608" t="e">
        <f>COUNTIFS(#REF!,"&gt;=0",#REF!,"&lt;=12",#REF!,"Native Hawaiian / Other Pacific Islander",#REF!,"Male")</f>
        <v>#REF!</v>
      </c>
      <c r="J25" s="606" t="e">
        <f>COUNTIFS(#REF!,"&gt;=0",#REF!,"&lt;=12",#REF!,"Native Hawaiian / Other Pacific Islander",#REF!,"Female",#REF!,"NO")</f>
        <v>#REF!</v>
      </c>
      <c r="K25" s="609" t="e">
        <f>COUNTIFS(#REF!,"&gt;=0",#REF!,"&lt;=12",#REF!,"Native Hawaiian / Other Pacific Islander",#REF!,"Transgender")</f>
        <v>#REF!</v>
      </c>
      <c r="L25" s="608" t="e">
        <f>COUNTIFS(#REF!,"&gt;=0",#REF!,"&lt;=12",#REF!,"Asian",#REF!,"Male")</f>
        <v>#REF!</v>
      </c>
      <c r="M25" s="606" t="e">
        <f>COUNTIFS(#REF!,"&gt;=0",#REF!,"&lt;=12",#REF!,"Asian",#REF!,"Female",#REF!,"NO")</f>
        <v>#REF!</v>
      </c>
      <c r="N25" s="609" t="e">
        <f>COUNTIFS(#REF!,"&gt;=0",#REF!,"&lt;=12",#REF!,"Asian",#REF!,"Transgender")</f>
        <v>#REF!</v>
      </c>
      <c r="O25" s="608" t="e">
        <f>COUNTIFS(#REF!,"&gt;=0",#REF!,"&lt;=12",#REF!,"American Indian / Alaska Native",#REF!,"Male")</f>
        <v>#REF!</v>
      </c>
      <c r="P25" s="606" t="e">
        <f>COUNTIFS(#REF!,"&gt;=0",#REF!,"&lt;=12",#REF!,"American Indian / Alaska Native",#REF!,"Female",#REF!,"NO")</f>
        <v>#REF!</v>
      </c>
      <c r="Q25" s="609" t="e">
        <f>COUNTIFS(#REF!,"&gt;=0",#REF!,"&lt;=12",#REF!,"American Indian / Alaska Native",#REF!,"Transgender")</f>
        <v>#REF!</v>
      </c>
      <c r="R25" s="608" t="e">
        <f>COUNTIFS(#REF!,"&gt;=0",#REF!,"&lt;=12",#REF!,"More than one race reported",#REF!,"Male")</f>
        <v>#REF!</v>
      </c>
      <c r="S25" s="606" t="e">
        <f>COUNTIFS(#REF!,"&gt;=0",#REF!,"&lt;=12",#REF!,"More than one race reported",#REF!,"Female",#REF!,"NO")</f>
        <v>#REF!</v>
      </c>
      <c r="T25" s="609" t="e">
        <f>COUNTIFS(#REF!,"&gt;=0",#REF!,"&lt;=12",#REF!,"More than one race reported",#REF!,"Transgender")</f>
        <v>#REF!</v>
      </c>
      <c r="U25" s="608" t="e">
        <f>COUNTIFS(#REF!,"&gt;=0",#REF!,"&lt;=12",#REF!,"Unknown",#REF!,"Male")</f>
        <v>#REF!</v>
      </c>
      <c r="V25" s="606" t="e">
        <f>COUNTIFS(#REF!,"&gt;=0",#REF!,"&lt;=12",#REF!,"Unknown",#REF!,"Female",#REF!,"NO")</f>
        <v>#REF!</v>
      </c>
      <c r="W25" s="609" t="e">
        <f>COUNTIFS(#REF!,"&gt;=0",#REF!,"&lt;=12",#REF!,"Unknown",#REF!,"Transgender")</f>
        <v>#REF!</v>
      </c>
      <c r="X25" s="610" t="e">
        <f t="shared" ref="X25:Z25" si="0">C25+F25+I25+L25+O25+R25+U25</f>
        <v>#REF!</v>
      </c>
      <c r="Y25" s="611" t="e">
        <f t="shared" si="0"/>
        <v>#REF!</v>
      </c>
      <c r="Z25" s="612" t="e">
        <f t="shared" si="0"/>
        <v>#REF!</v>
      </c>
      <c r="AA25" s="613" t="s">
        <v>628</v>
      </c>
      <c r="AB25" s="614" t="e">
        <f>COUNTIFS(#REF!,"&gt;=0",#REF!,"&lt;=12",#REF!,"Not Hispanic or Latino",#REF!,"Male")</f>
        <v>#REF!</v>
      </c>
      <c r="AC25" s="615" t="e">
        <f>COUNTIFS(#REF!,"&gt;=0",#REF!,"&lt;=12",#REF!,"Not Hispanic or Latino",#REF!,"Female",#REF!,"NO")</f>
        <v>#REF!</v>
      </c>
      <c r="AD25" s="616" t="e">
        <f>COUNTIFS(#REF!,"&gt;=0",#REF!,"&lt;=12",#REF!,"Not Hispanic or Latino",#REF!,"Transgender")</f>
        <v>#REF!</v>
      </c>
      <c r="AE25" s="617" t="e">
        <f>COUNTIFS(#REF!,"&gt;=0",#REF!,"&lt;=12",#REF!,"Hispanic-Latino ",#REF!,"Male")</f>
        <v>#REF!</v>
      </c>
      <c r="AF25" s="615" t="e">
        <f>COUNTIFS(#REF!,"&gt;=0",#REF!,"&lt;=12",#REF!,"Hispanic-Latino ",#REF!,"Female",#REF!,"NO")</f>
        <v>#REF!</v>
      </c>
      <c r="AG25" s="616" t="e">
        <f>COUNTIFS(#REF!,"&gt;=0",#REF!,"&lt;=12",#REF!,"Hispanic-Latino ",#REF!,"Transgender")</f>
        <v>#REF!</v>
      </c>
      <c r="AH25" s="617" t="e">
        <f>COUNTIFS(#REF!,"&gt;=0",#REF!,"&lt;=12",#REF!,"Unknown",#REF!,"Male")</f>
        <v>#REF!</v>
      </c>
      <c r="AI25" s="615" t="e">
        <f>COUNTIFS(#REF!,"&gt;=0",#REF!,"&lt;=12",#REF!,"Unknown",#REF!,"Female",#REF!,"NO")</f>
        <v>#REF!</v>
      </c>
      <c r="AJ25" s="618" t="e">
        <f>COUNTIFS(#REF!,"&gt;=0",#REF!,"&lt;=12",#REF!,"Unknown",#REF!,"Transgender")</f>
        <v>#REF!</v>
      </c>
      <c r="AK25" s="619" t="e">
        <f t="shared" ref="AK25:AM25" si="1">AB25+AE25+AH25</f>
        <v>#REF!</v>
      </c>
      <c r="AL25" s="620" t="e">
        <f t="shared" si="1"/>
        <v>#REF!</v>
      </c>
      <c r="AM25" s="621" t="e">
        <f t="shared" si="1"/>
        <v>#REF!</v>
      </c>
    </row>
    <row r="26" spans="1:39" ht="15" customHeight="1" x14ac:dyDescent="0.25">
      <c r="A26" s="966" t="s">
        <v>629</v>
      </c>
      <c r="B26" s="714"/>
      <c r="C26" s="605" t="e">
        <f>COUNTIFS(#REF!,"&gt;=13",#REF!,"&lt;=17",#REF!,"White",#REF!,"Male")</f>
        <v>#REF!</v>
      </c>
      <c r="D26" s="606" t="e">
        <f>COUNTIFS(#REF!,"&gt;=13",#REF!,"&lt;=17",#REF!,"White",#REF!,"Female",#REF!,"NO")</f>
        <v>#REF!</v>
      </c>
      <c r="E26" s="607" t="e">
        <f>COUNTIFS(#REF!,"&gt;=13",#REF!,"&lt;=17",#REF!,"White",#REF!,"Transgender")</f>
        <v>#REF!</v>
      </c>
      <c r="F26" s="608" t="e">
        <f>COUNTIFS(#REF!,"&gt;=13",#REF!,"&lt;=17",#REF!,"African American /Black",#REF!,"Male")</f>
        <v>#REF!</v>
      </c>
      <c r="G26" s="606" t="e">
        <f>COUNTIFS(#REF!,"&gt;=13",#REF!,"&lt;=17",#REF!,"African American /Black",#REF!,"Female",#REF!,"NO")</f>
        <v>#REF!</v>
      </c>
      <c r="H26" s="609" t="e">
        <f>COUNTIFS(#REF!,"&gt;=13",#REF!,"&lt;=17",#REF!,"African American /Black",#REF!,"Transgender")</f>
        <v>#REF!</v>
      </c>
      <c r="I26" s="608" t="e">
        <f>COUNTIFS(#REF!,"&gt;=13",#REF!,"&lt;=17",#REF!,"Native Hawaiian / Other Pacific Islander",#REF!,"Male")</f>
        <v>#REF!</v>
      </c>
      <c r="J26" s="606" t="e">
        <f>COUNTIFS(#REF!,"&gt;=13",#REF!,"&lt;=17",#REF!,"Native Hawaiian / Other Pacific Islander",#REF!,"Female",#REF!,"NO")</f>
        <v>#REF!</v>
      </c>
      <c r="K26" s="609" t="e">
        <f>COUNTIFS(#REF!,"&gt;=13",#REF!,"&lt;=17",#REF!,"Native Hawaiian / Other Pacific Islander",#REF!,"Transgender")</f>
        <v>#REF!</v>
      </c>
      <c r="L26" s="608" t="e">
        <f>COUNTIFS(#REF!,"&gt;=13",#REF!,"&lt;=17",#REF!,"Asian",#REF!,"Male")</f>
        <v>#REF!</v>
      </c>
      <c r="M26" s="606" t="e">
        <f>COUNTIFS(#REF!,"&gt;=13",#REF!,"&lt;=17",#REF!,"Asian",#REF!,"Female",#REF!,"NO")</f>
        <v>#REF!</v>
      </c>
      <c r="N26" s="609" t="e">
        <f>COUNTIFS(#REF!,"&gt;=13",#REF!,"&lt;=17",#REF!,"Asian",#REF!,"Transgender")</f>
        <v>#REF!</v>
      </c>
      <c r="O26" s="608" t="e">
        <f>COUNTIFS(#REF!,"&gt;=13",#REF!,"&lt;=17",#REF!,"American Indian / Alaska Native",#REF!,"Male")</f>
        <v>#REF!</v>
      </c>
      <c r="P26" s="606" t="e">
        <f>COUNTIFS(#REF!,"&gt;=13",#REF!,"&lt;=17",#REF!,"American Indian / Alaska Native",#REF!,"Female",#REF!,"NO")</f>
        <v>#REF!</v>
      </c>
      <c r="Q26" s="609" t="e">
        <f>COUNTIFS(#REF!,"&gt;=13",#REF!,"&lt;=17",#REF!,"American Indian / Alaska Native",#REF!,"Transgender")</f>
        <v>#REF!</v>
      </c>
      <c r="R26" s="608" t="e">
        <f>COUNTIFS(#REF!,"&gt;=13",#REF!,"&lt;=17",#REF!,"More than one race reported",#REF!,"Male")</f>
        <v>#REF!</v>
      </c>
      <c r="S26" s="606" t="e">
        <f>COUNTIFS(#REF!,"&gt;=13",#REF!,"&lt;=17",#REF!,"More than one race reported",#REF!,"Female",#REF!,"NO")</f>
        <v>#REF!</v>
      </c>
      <c r="T26" s="609" t="e">
        <f>COUNTIFS(#REF!,"&gt;=13",#REF!,"&lt;=17",#REF!,"More than one race reported",#REF!,"Transgender")</f>
        <v>#REF!</v>
      </c>
      <c r="U26" s="608" t="e">
        <f>COUNTIFS(#REF!,"&gt;=13",#REF!,"&lt;=17",#REF!,"Unknown",#REF!,"Male")</f>
        <v>#REF!</v>
      </c>
      <c r="V26" s="606" t="e">
        <f>COUNTIFS(#REF!,"&gt;=13",#REF!,"&lt;=17",#REF!,"Unknown",#REF!,"Female",#REF!,"NO")</f>
        <v>#REF!</v>
      </c>
      <c r="W26" s="609" t="e">
        <f>COUNTIFS(#REF!,"&gt;=13",#REF!,"&lt;=17",#REF!,"Unknown",#REF!,"Transgender")</f>
        <v>#REF!</v>
      </c>
      <c r="X26" s="610" t="e">
        <f t="shared" ref="X26:Z26" si="2">C26+F26+I26+L26+O26+R26+U26</f>
        <v>#REF!</v>
      </c>
      <c r="Y26" s="611" t="e">
        <f t="shared" si="2"/>
        <v>#REF!</v>
      </c>
      <c r="Z26" s="612" t="e">
        <f t="shared" si="2"/>
        <v>#REF!</v>
      </c>
      <c r="AA26" s="613" t="s">
        <v>629</v>
      </c>
      <c r="AB26" s="614" t="e">
        <f>COUNTIFS(#REF!,"&gt;=13",#REF!,"&lt;=17",#REF!,"Not Hispanic or Latino",#REF!,"Male")</f>
        <v>#REF!</v>
      </c>
      <c r="AC26" s="615" t="e">
        <f>COUNTIFS(#REF!,"&gt;=13",#REF!,"&lt;=17",#REF!,"Not Hispanic or Latino",#REF!,"Female",#REF!,"NO")</f>
        <v>#REF!</v>
      </c>
      <c r="AD26" s="616" t="e">
        <f>COUNTIFS(#REF!,"&gt;=13",#REF!,"&lt;=17",#REF!,"Not Hispanic or Latino",#REF!,"Transgender")</f>
        <v>#REF!</v>
      </c>
      <c r="AE26" s="617" t="e">
        <f>COUNTIFS(#REF!,"&gt;=13",#REF!,"&lt;=17",#REF!,"Hispanic-Latino ",#REF!,"Male")</f>
        <v>#REF!</v>
      </c>
      <c r="AF26" s="615" t="e">
        <f>COUNTIFS(#REF!,"&gt;=13",#REF!,"&lt;=17",#REF!,"Hispanic-Latino ",#REF!,"Female",#REF!,"NO")</f>
        <v>#REF!</v>
      </c>
      <c r="AG26" s="616" t="e">
        <f>COUNTIFS(#REF!,"&gt;=13",#REF!,"&lt;=17",#REF!,"Hispanic-Latino ",#REF!,"Transgender")</f>
        <v>#REF!</v>
      </c>
      <c r="AH26" s="617" t="e">
        <f>COUNTIFS(#REF!,"&gt;=13",#REF!,"&lt;=17",#REF!,"Unknown",#REF!,"Male")</f>
        <v>#REF!</v>
      </c>
      <c r="AI26" s="615" t="e">
        <f>COUNTIFS(#REF!,"&gt;=13",#REF!,"&lt;=17",#REF!,"Unknown",#REF!,"Female",#REF!,"NO")</f>
        <v>#REF!</v>
      </c>
      <c r="AJ26" s="618" t="e">
        <f>COUNTIFS(#REF!,"&gt;=13",#REF!,"&lt;=17",#REF!,"Unknown",#REF!,"Transgender")</f>
        <v>#REF!</v>
      </c>
      <c r="AK26" s="619" t="e">
        <f t="shared" ref="AK26:AM26" si="3">AB26+AE26+AH26</f>
        <v>#REF!</v>
      </c>
      <c r="AL26" s="620" t="e">
        <f t="shared" si="3"/>
        <v>#REF!</v>
      </c>
      <c r="AM26" s="621" t="e">
        <f t="shared" si="3"/>
        <v>#REF!</v>
      </c>
    </row>
    <row r="27" spans="1:39" ht="15" customHeight="1" x14ac:dyDescent="0.25">
      <c r="A27" s="966" t="s">
        <v>630</v>
      </c>
      <c r="B27" s="714"/>
      <c r="C27" s="605" t="e">
        <f>COUNTIFS(#REF!,"&gt;=18",#REF!,"&lt;=20",#REF!,"White",#REF!,"Male")</f>
        <v>#REF!</v>
      </c>
      <c r="D27" s="606" t="e">
        <f>COUNTIFS(#REF!,"&gt;=18",#REF!,"&lt;=20",#REF!,"White",#REF!,"Female",#REF!,"NO")</f>
        <v>#REF!</v>
      </c>
      <c r="E27" s="607" t="e">
        <f>COUNTIFS(#REF!,"&gt;=18",#REF!,"&lt;=20",#REF!,"White",#REF!,"Transgender")</f>
        <v>#REF!</v>
      </c>
      <c r="F27" s="608" t="e">
        <f>COUNTIFS(#REF!,"&gt;=18",#REF!,"&lt;=20",#REF!,"African American /Black",#REF!,"Male")</f>
        <v>#REF!</v>
      </c>
      <c r="G27" s="606" t="e">
        <f>COUNTIFS(#REF!,"&gt;=18",#REF!,"&lt;=20",#REF!,"African American /Black",#REF!,"Female",#REF!,"NO")</f>
        <v>#REF!</v>
      </c>
      <c r="H27" s="609" t="e">
        <f>COUNTIFS(#REF!,"&gt;=18",#REF!,"&lt;=20",#REF!,"African American /Black",#REF!,"Transgender")</f>
        <v>#REF!</v>
      </c>
      <c r="I27" s="608" t="e">
        <f>COUNTIFS(#REF!,"&gt;=18",#REF!,"&lt;=20",#REF!,"Native Hawaiian / Other Pacific Islander",#REF!,"Male")</f>
        <v>#REF!</v>
      </c>
      <c r="J27" s="606" t="e">
        <f>COUNTIFS(#REF!,"&gt;=18",#REF!,"&lt;=20",#REF!,"Native Hawaiian / Other Pacific Islander",#REF!,"Female",#REF!,"NO")</f>
        <v>#REF!</v>
      </c>
      <c r="K27" s="609" t="e">
        <f>COUNTIFS(#REF!,"&gt;=18",#REF!,"&lt;=20",#REF!,"Native Hawaiian / Other Pacific Islander",#REF!,"Transgender")</f>
        <v>#REF!</v>
      </c>
      <c r="L27" s="608" t="e">
        <f>COUNTIFS(#REF!,"&gt;=18",#REF!,"&lt;=20",#REF!,"Asian",#REF!,"Male")</f>
        <v>#REF!</v>
      </c>
      <c r="M27" s="606" t="e">
        <f>COUNTIFS(#REF!,"&gt;=18",#REF!,"&lt;=20",#REF!,"Asian",#REF!,"Female",#REF!,"NO")</f>
        <v>#REF!</v>
      </c>
      <c r="N27" s="609" t="e">
        <f>COUNTIFS(#REF!,"&gt;=18",#REF!,"&lt;=20",#REF!,"Asian",#REF!,"Transgender")</f>
        <v>#REF!</v>
      </c>
      <c r="O27" s="608" t="e">
        <f>COUNTIFS(#REF!,"&gt;=18",#REF!,"&lt;=20",#REF!,"American Indian / Alaska Native",#REF!,"Male")</f>
        <v>#REF!</v>
      </c>
      <c r="P27" s="606" t="e">
        <f>COUNTIFS(#REF!,"&gt;=18",#REF!,"&lt;=20",#REF!,"American Indian / Alaska Native",#REF!,"Female",#REF!,"NO")</f>
        <v>#REF!</v>
      </c>
      <c r="Q27" s="609" t="e">
        <f>COUNTIFS(#REF!,"&gt;=18",#REF!,"&lt;=20",#REF!,"American Indian / Alaska Native",#REF!,"Transgender")</f>
        <v>#REF!</v>
      </c>
      <c r="R27" s="608" t="e">
        <f>COUNTIFS(#REF!,"&gt;=18",#REF!,"&lt;=20",#REF!,"More than one race reported",#REF!,"Male")</f>
        <v>#REF!</v>
      </c>
      <c r="S27" s="606" t="e">
        <f>COUNTIFS(#REF!,"&gt;=18",#REF!,"&lt;=20",#REF!,"More than one race reported",#REF!,"Female",#REF!,"NO")</f>
        <v>#REF!</v>
      </c>
      <c r="T27" s="609" t="e">
        <f>COUNTIFS(#REF!,"&gt;=18",#REF!,"&lt;=20",#REF!,"More than one race reported",#REF!,"Transgender")</f>
        <v>#REF!</v>
      </c>
      <c r="U27" s="608" t="e">
        <f>COUNTIFS(#REF!,"&gt;=18",#REF!,"&lt;=20",#REF!,"Unknown",#REF!,"Male")</f>
        <v>#REF!</v>
      </c>
      <c r="V27" s="606" t="e">
        <f>COUNTIFS(#REF!,"&gt;=18",#REF!,"&lt;=20",#REF!,"Unknown",#REF!,"Female",#REF!,"NO")</f>
        <v>#REF!</v>
      </c>
      <c r="W27" s="609" t="e">
        <f>COUNTIFS(#REF!,"&gt;=18",#REF!,"&lt;=20",#REF!,"Unknown",#REF!,"Transgender")</f>
        <v>#REF!</v>
      </c>
      <c r="X27" s="610" t="e">
        <f t="shared" ref="X27:Z27" si="4">C27+F27+I27+L27+O27+R27+U27</f>
        <v>#REF!</v>
      </c>
      <c r="Y27" s="611" t="e">
        <f t="shared" si="4"/>
        <v>#REF!</v>
      </c>
      <c r="Z27" s="612" t="e">
        <f t="shared" si="4"/>
        <v>#REF!</v>
      </c>
      <c r="AA27" s="613" t="s">
        <v>630</v>
      </c>
      <c r="AB27" s="614" t="e">
        <f>COUNTIFS(#REF!,"&gt;=18",#REF!,"&lt;=20",#REF!,"Not Hispanic or Latino",#REF!,"Male")</f>
        <v>#REF!</v>
      </c>
      <c r="AC27" s="615" t="e">
        <f>COUNTIFS(#REF!,"&gt;=18",#REF!,"&lt;=20",#REF!,"Not Hispanic or Latino",#REF!,"Female",#REF!,"NO")</f>
        <v>#REF!</v>
      </c>
      <c r="AD27" s="616" t="e">
        <f>COUNTIFS(#REF!,"&gt;=18",#REF!,"&lt;=20",#REF!,"Not Hispanic or Latino",#REF!,"Transgender")</f>
        <v>#REF!</v>
      </c>
      <c r="AE27" s="617" t="e">
        <f>COUNTIFS(#REF!,"&gt;=18",#REF!,"&lt;=20",#REF!,"Hispanic-Latino ",#REF!,"Male")</f>
        <v>#REF!</v>
      </c>
      <c r="AF27" s="615" t="e">
        <f>COUNTIFS(#REF!,"&gt;=18",#REF!,"&lt;=20",#REF!,"Hispanic-Latino ",#REF!,"Female",#REF!,"NO")</f>
        <v>#REF!</v>
      </c>
      <c r="AG27" s="616" t="e">
        <f>COUNTIFS(#REF!,"&gt;=18",#REF!,"&lt;=20",#REF!,"Hispanic-Latino ",#REF!,"Transgender")</f>
        <v>#REF!</v>
      </c>
      <c r="AH27" s="617" t="e">
        <f>COUNTIFS(#REF!,"&gt;=18",#REF!,"&lt;=20",#REF!,"Unknown",#REF!,"Male")</f>
        <v>#REF!</v>
      </c>
      <c r="AI27" s="615" t="e">
        <f>COUNTIFS(#REF!,"&gt;=18",#REF!,"&lt;=20",#REF!,"Unknown",#REF!,"Female",#REF!,"NO")</f>
        <v>#REF!</v>
      </c>
      <c r="AJ27" s="618" t="e">
        <f>COUNTIFS(#REF!,"&gt;=18",#REF!,"&lt;=20",#REF!,"Unknown",#REF!,"Transgender")</f>
        <v>#REF!</v>
      </c>
      <c r="AK27" s="619" t="e">
        <f t="shared" ref="AK27:AM27" si="5">AB27+AE27+AH27</f>
        <v>#REF!</v>
      </c>
      <c r="AL27" s="620" t="e">
        <f t="shared" si="5"/>
        <v>#REF!</v>
      </c>
      <c r="AM27" s="621" t="e">
        <f t="shared" si="5"/>
        <v>#REF!</v>
      </c>
    </row>
    <row r="28" spans="1:39" ht="15" customHeight="1" x14ac:dyDescent="0.25">
      <c r="A28" s="966" t="s">
        <v>631</v>
      </c>
      <c r="B28" s="714"/>
      <c r="C28" s="605" t="e">
        <f>COUNTIFS(#REF!,"&gt;=21",#REF!,"&lt;=24",#REF!,"White",#REF!,"Male")</f>
        <v>#REF!</v>
      </c>
      <c r="D28" s="606" t="e">
        <f>COUNTIFS(#REF!,"&gt;=21",#REF!,"&lt;=24",#REF!,"White",#REF!,"Female",#REF!,"NO")</f>
        <v>#REF!</v>
      </c>
      <c r="E28" s="607" t="e">
        <f>COUNTIFS(#REF!,"&gt;=21",#REF!,"&lt;=24",#REF!,"White",#REF!,"Transgender")</f>
        <v>#REF!</v>
      </c>
      <c r="F28" s="608" t="e">
        <f>COUNTIFS(#REF!,"&gt;=21",#REF!,"&lt;=24",#REF!,"African American /Black",#REF!,"Male")</f>
        <v>#REF!</v>
      </c>
      <c r="G28" s="606" t="e">
        <f>COUNTIFS(#REF!,"&gt;=21",#REF!,"&lt;=24",#REF!,"African American /Black",#REF!,"Female",#REF!,"NO")</f>
        <v>#REF!</v>
      </c>
      <c r="H28" s="609" t="e">
        <f>COUNTIFS(#REF!,"&gt;=21",#REF!,"&lt;=24",#REF!,"African American /Black",#REF!,"Transgender")</f>
        <v>#REF!</v>
      </c>
      <c r="I28" s="608" t="e">
        <f>COUNTIFS(#REF!,"&gt;=21",#REF!,"&lt;=24",#REF!,"Native Hawaiian / Other Pacific Islander",#REF!,"Male")</f>
        <v>#REF!</v>
      </c>
      <c r="J28" s="606" t="e">
        <f>COUNTIFS(#REF!,"&gt;=21",#REF!,"&lt;=24",#REF!,"Native Hawaiian / Other Pacific Islander",#REF!,"Female",#REF!,"NO")</f>
        <v>#REF!</v>
      </c>
      <c r="K28" s="609" t="e">
        <f>COUNTIFS(#REF!,"&gt;=21",#REF!,"&lt;=24",#REF!,"Native Hawaiian / Other Pacific Islander",#REF!,"Transgender")</f>
        <v>#REF!</v>
      </c>
      <c r="L28" s="608" t="e">
        <f>COUNTIFS(#REF!,"&gt;=21",#REF!,"&lt;=24",#REF!,"Asian",#REF!,"Male")</f>
        <v>#REF!</v>
      </c>
      <c r="M28" s="606" t="e">
        <f>COUNTIFS(#REF!,"&gt;=21",#REF!,"&lt;=24",#REF!,"Asian",#REF!,"Female",#REF!,"NO")</f>
        <v>#REF!</v>
      </c>
      <c r="N28" s="609" t="e">
        <f>COUNTIFS(#REF!,"&gt;=21",#REF!,"&lt;=24",#REF!,"Asian",#REF!,"Transgender")</f>
        <v>#REF!</v>
      </c>
      <c r="O28" s="608" t="e">
        <f>COUNTIFS(#REF!,"&gt;=21",#REF!,"&lt;=24",#REF!,"American Indian / Alaska Native",#REF!,"Male")</f>
        <v>#REF!</v>
      </c>
      <c r="P28" s="606" t="e">
        <f>COUNTIFS(#REF!,"&gt;=21",#REF!,"&lt;=24",#REF!,"American Indian / Alaska Native",#REF!,"Female",#REF!,"NO")</f>
        <v>#REF!</v>
      </c>
      <c r="Q28" s="609" t="e">
        <f>COUNTIFS(#REF!,"&gt;=21",#REF!,"&lt;=24",#REF!,"American Indian / Alaska Native",#REF!,"Transgender")</f>
        <v>#REF!</v>
      </c>
      <c r="R28" s="608" t="e">
        <f>COUNTIFS(#REF!,"&gt;=21",#REF!,"&lt;=24",#REF!,"More than one race reported",#REF!,"Male")</f>
        <v>#REF!</v>
      </c>
      <c r="S28" s="606" t="e">
        <f>COUNTIFS(#REF!,"&gt;=21",#REF!,"&lt;=24",#REF!,"More than one race reported",#REF!,"Female",#REF!,"NO")</f>
        <v>#REF!</v>
      </c>
      <c r="T28" s="609" t="e">
        <f>COUNTIFS(#REF!,"&gt;=21",#REF!,"&lt;=24",#REF!,"More than one race reported",#REF!,"Transgender")</f>
        <v>#REF!</v>
      </c>
      <c r="U28" s="608" t="e">
        <f>COUNTIFS(#REF!,"&gt;=21",#REF!,"&lt;=24",#REF!,"Unknown",#REF!,"Male")</f>
        <v>#REF!</v>
      </c>
      <c r="V28" s="606" t="e">
        <f>COUNTIFS(#REF!,"&gt;=21",#REF!,"&lt;=24",#REF!,"Unknown",#REF!,"Female",#REF!,"NO")</f>
        <v>#REF!</v>
      </c>
      <c r="W28" s="609" t="e">
        <f>COUNTIFS(#REF!,"&gt;=21",#REF!,"&lt;=24",#REF!,"Unknown",#REF!,"Transgender")</f>
        <v>#REF!</v>
      </c>
      <c r="X28" s="610" t="e">
        <f t="shared" ref="X28:Z28" si="6">C28+F28+I28+L28+O28+R28+U28</f>
        <v>#REF!</v>
      </c>
      <c r="Y28" s="611" t="e">
        <f t="shared" si="6"/>
        <v>#REF!</v>
      </c>
      <c r="Z28" s="612" t="e">
        <f t="shared" si="6"/>
        <v>#REF!</v>
      </c>
      <c r="AA28" s="613" t="s">
        <v>631</v>
      </c>
      <c r="AB28" s="614" t="e">
        <f>COUNTIFS(#REF!,"&gt;=21",#REF!,"&lt;=24",#REF!,"Not Hispanic or Latino",#REF!,"Male")</f>
        <v>#REF!</v>
      </c>
      <c r="AC28" s="615" t="e">
        <f>COUNTIFS(#REF!,"&gt;=21",#REF!,"&lt;=24",#REF!,"Not Hispanic or Latino",#REF!,"Female",#REF!,"NO")</f>
        <v>#REF!</v>
      </c>
      <c r="AD28" s="616" t="e">
        <f>COUNTIFS(#REF!,"&gt;=21",#REF!,"&lt;=24",#REF!,"Not Hispanic or Latino",#REF!,"Transgender")</f>
        <v>#REF!</v>
      </c>
      <c r="AE28" s="617" t="e">
        <f>COUNTIFS(#REF!,"&gt;=21",#REF!,"&lt;=24",#REF!,"Hispanic-Latino ",#REF!,"Male")</f>
        <v>#REF!</v>
      </c>
      <c r="AF28" s="615" t="e">
        <f>COUNTIFS(#REF!,"&gt;=21",#REF!,"&lt;=24",#REF!,"Hispanic-Latino ",#REF!,"Female",#REF!,"NO")</f>
        <v>#REF!</v>
      </c>
      <c r="AG28" s="616" t="e">
        <f>COUNTIFS(#REF!,"&gt;=21",#REF!,"&lt;=24",#REF!,"Hispanic-Latino ",#REF!,"Transgender")</f>
        <v>#REF!</v>
      </c>
      <c r="AH28" s="617" t="e">
        <f>COUNTIFS(#REF!,"&gt;=21",#REF!,"&lt;=24",#REF!,"Unknown",#REF!,"Male")</f>
        <v>#REF!</v>
      </c>
      <c r="AI28" s="615" t="e">
        <f>COUNTIFS(#REF!,"&gt;=21",#REF!,"&lt;=24",#REF!,"Unknown",#REF!,"Female",#REF!,"NO")</f>
        <v>#REF!</v>
      </c>
      <c r="AJ28" s="618" t="e">
        <f>COUNTIFS(#REF!,"&gt;=21",#REF!,"&lt;=24",#REF!,"Unknown",#REF!,"Transgender")</f>
        <v>#REF!</v>
      </c>
      <c r="AK28" s="619" t="e">
        <f t="shared" ref="AK28:AM28" si="7">AB28+AE28+AH28</f>
        <v>#REF!</v>
      </c>
      <c r="AL28" s="620" t="e">
        <f t="shared" si="7"/>
        <v>#REF!</v>
      </c>
      <c r="AM28" s="621" t="e">
        <f t="shared" si="7"/>
        <v>#REF!</v>
      </c>
    </row>
    <row r="29" spans="1:39" ht="15" customHeight="1" x14ac:dyDescent="0.25">
      <c r="A29" s="966" t="s">
        <v>632</v>
      </c>
      <c r="B29" s="714"/>
      <c r="C29" s="605" t="e">
        <f>COUNTIFS(#REF!,"&gt;=25",#REF!,"&lt;=34",#REF!,"White",#REF!,"Male")</f>
        <v>#REF!</v>
      </c>
      <c r="D29" s="606" t="e">
        <f>COUNTIFS(#REF!,"&gt;=25",#REF!,"&lt;=34",#REF!,"White",#REF!,"Female",#REF!,"NO")</f>
        <v>#REF!</v>
      </c>
      <c r="E29" s="607" t="e">
        <f>COUNTIFS(#REF!,"&gt;=25",#REF!,"&lt;=34",#REF!,"White",#REF!,"Transgender")</f>
        <v>#REF!</v>
      </c>
      <c r="F29" s="608" t="e">
        <f>COUNTIFS(#REF!,"&gt;=25",#REF!,"&lt;=34",#REF!,"African American /Black",#REF!,"Male")</f>
        <v>#REF!</v>
      </c>
      <c r="G29" s="606" t="e">
        <f>COUNTIFS(#REF!,"&gt;=25",#REF!,"&lt;=34",#REF!,"African American /Black",#REF!,"Female",#REF!,"NO")</f>
        <v>#REF!</v>
      </c>
      <c r="H29" s="609" t="e">
        <f>COUNTIFS(#REF!,"&gt;=25",#REF!,"&lt;=34",#REF!,"African American /Black",#REF!,"Transgender")</f>
        <v>#REF!</v>
      </c>
      <c r="I29" s="608" t="e">
        <f>COUNTIFS(#REF!,"&gt;=25",#REF!,"&lt;=34",#REF!,"Native Hawaiian / Other Pacific Islander",#REF!,"Male")</f>
        <v>#REF!</v>
      </c>
      <c r="J29" s="606" t="e">
        <f>COUNTIFS(#REF!,"&gt;=25",#REF!,"&lt;=34",#REF!,"Native Hawaiian / Other Pacific Islander",#REF!,"Female",#REF!,"NO")</f>
        <v>#REF!</v>
      </c>
      <c r="K29" s="609" t="e">
        <f>COUNTIFS(#REF!,"&gt;=25",#REF!,"&lt;=34",#REF!,"Native Hawaiian / Other Pacific Islander",#REF!,"Transgender")</f>
        <v>#REF!</v>
      </c>
      <c r="L29" s="608" t="e">
        <f>COUNTIFS(#REF!,"&gt;=25",#REF!,"&lt;=34",#REF!,"Asian",#REF!,"Male")</f>
        <v>#REF!</v>
      </c>
      <c r="M29" s="606" t="e">
        <f>COUNTIFS(#REF!,"&gt;=25",#REF!,"&lt;=34",#REF!,"Asian",#REF!,"Female",#REF!,"NO")</f>
        <v>#REF!</v>
      </c>
      <c r="N29" s="609" t="e">
        <f>COUNTIFS(#REF!,"&gt;=25",#REF!,"&lt;=34",#REF!,"Asian",#REF!,"Transgender")</f>
        <v>#REF!</v>
      </c>
      <c r="O29" s="608" t="e">
        <f>COUNTIFS(#REF!,"&gt;=25",#REF!,"&lt;=34",#REF!,"American Indian / Alaska Native",#REF!,"Male")</f>
        <v>#REF!</v>
      </c>
      <c r="P29" s="606" t="e">
        <f>COUNTIFS(#REF!,"&gt;=25",#REF!,"&lt;=34",#REF!,"American Indian / Alaska Native",#REF!,"Female",#REF!,"NO")</f>
        <v>#REF!</v>
      </c>
      <c r="Q29" s="609" t="e">
        <f>COUNTIFS(#REF!,"&gt;=25",#REF!,"&lt;=34",#REF!,"American Indian / Alaska Native",#REF!,"Transgender")</f>
        <v>#REF!</v>
      </c>
      <c r="R29" s="608" t="e">
        <f>COUNTIFS(#REF!,"&gt;=25",#REF!,"&lt;=34",#REF!,"More than one race reported",#REF!,"Male")</f>
        <v>#REF!</v>
      </c>
      <c r="S29" s="606" t="e">
        <f>COUNTIFS(#REF!,"&gt;=25",#REF!,"&lt;=34",#REF!,"More than one race reported",#REF!,"Female",#REF!,"NO")</f>
        <v>#REF!</v>
      </c>
      <c r="T29" s="609" t="e">
        <f>COUNTIFS(#REF!,"&gt;=25",#REF!,"&lt;=34",#REF!,"More than one race reported",#REF!,"Transgender")</f>
        <v>#REF!</v>
      </c>
      <c r="U29" s="608" t="e">
        <f>COUNTIFS(#REF!,"&gt;=25",#REF!,"&lt;=34",#REF!,"Unknown",#REF!,"Male")</f>
        <v>#REF!</v>
      </c>
      <c r="V29" s="606" t="e">
        <f>COUNTIFS(#REF!,"&gt;=25",#REF!,"&lt;=34",#REF!,"Unknown",#REF!,"Female",#REF!,"NO")</f>
        <v>#REF!</v>
      </c>
      <c r="W29" s="609" t="e">
        <f>COUNTIFS(#REF!,"&gt;=25",#REF!,"&lt;=34",#REF!,"Unknown",#REF!,"Transgender")</f>
        <v>#REF!</v>
      </c>
      <c r="X29" s="610" t="e">
        <f t="shared" ref="X29:Z29" si="8">C29+F29+I29+L29+O29+R29+U29</f>
        <v>#REF!</v>
      </c>
      <c r="Y29" s="611" t="e">
        <f t="shared" si="8"/>
        <v>#REF!</v>
      </c>
      <c r="Z29" s="612" t="e">
        <f t="shared" si="8"/>
        <v>#REF!</v>
      </c>
      <c r="AA29" s="613" t="s">
        <v>632</v>
      </c>
      <c r="AB29" s="614" t="e">
        <f>COUNTIFS(#REF!,"&gt;=25",#REF!,"&lt;=34",#REF!,"Not Hispanic or Latino",#REF!,"Male")</f>
        <v>#REF!</v>
      </c>
      <c r="AC29" s="615" t="e">
        <f>COUNTIFS(#REF!,"&gt;=25",#REF!,"&lt;=34",#REF!,"Not Hispanic or Latino",#REF!,"Female",#REF!,"NO")</f>
        <v>#REF!</v>
      </c>
      <c r="AD29" s="616" t="e">
        <f>COUNTIFS(#REF!,"&gt;=25",#REF!,"&lt;=34",#REF!,"Not Hispanic or Latino",#REF!,"Transgender")</f>
        <v>#REF!</v>
      </c>
      <c r="AE29" s="617" t="e">
        <f>COUNTIFS(#REF!,"&gt;=25",#REF!,"&lt;=34",#REF!,"Hispanic-Latino ",#REF!,"Male")</f>
        <v>#REF!</v>
      </c>
      <c r="AF29" s="615" t="e">
        <f>COUNTIFS(#REF!,"&gt;=25",#REF!,"&lt;=34",#REF!,"Hispanic-Latino ",#REF!,"Female",#REF!,"NO")</f>
        <v>#REF!</v>
      </c>
      <c r="AG29" s="616" t="e">
        <f>COUNTIFS(#REF!,"&gt;=25",#REF!,"&lt;=34",#REF!,"Hispanic-Latino ",#REF!,"Transgender")</f>
        <v>#REF!</v>
      </c>
      <c r="AH29" s="617" t="e">
        <f>COUNTIFS(#REF!,"&gt;=25",#REF!,"&lt;=34",#REF!,"Unknown",#REF!,"Male")</f>
        <v>#REF!</v>
      </c>
      <c r="AI29" s="615" t="e">
        <f>COUNTIFS(#REF!,"&gt;=25",#REF!,"&lt;=34",#REF!,"Unknown",#REF!,"Female",#REF!,"NO")</f>
        <v>#REF!</v>
      </c>
      <c r="AJ29" s="618" t="e">
        <f>COUNTIFS(#REF!,"&gt;=25",#REF!,"&lt;=34",#REF!,"Unknown",#REF!,"Transgender")</f>
        <v>#REF!</v>
      </c>
      <c r="AK29" s="619" t="e">
        <f t="shared" ref="AK29:AM29" si="9">AB29+AE29+AH29</f>
        <v>#REF!</v>
      </c>
      <c r="AL29" s="620" t="e">
        <f t="shared" si="9"/>
        <v>#REF!</v>
      </c>
      <c r="AM29" s="621" t="e">
        <f t="shared" si="9"/>
        <v>#REF!</v>
      </c>
    </row>
    <row r="30" spans="1:39" ht="15" customHeight="1" x14ac:dyDescent="0.25">
      <c r="A30" s="966" t="s">
        <v>633</v>
      </c>
      <c r="B30" s="714"/>
      <c r="C30" s="605" t="e">
        <f>COUNTIFS(#REF!,"&gt;=35",#REF!,"&lt;=44",#REF!,"White",#REF!,"Male")</f>
        <v>#REF!</v>
      </c>
      <c r="D30" s="606" t="e">
        <f>COUNTIFS(#REF!,"&gt;=35",#REF!,"&lt;=44",#REF!,"White",#REF!,"Female",#REF!,"NO")</f>
        <v>#REF!</v>
      </c>
      <c r="E30" s="607" t="e">
        <f>COUNTIFS(#REF!,"&gt;=35",#REF!,"&lt;=44",#REF!,"White",#REF!,"Transgender")</f>
        <v>#REF!</v>
      </c>
      <c r="F30" s="608" t="e">
        <f>COUNTIFS(#REF!,"&gt;=35",#REF!,"&lt;=44",#REF!,"African American /Black",#REF!,"Male")</f>
        <v>#REF!</v>
      </c>
      <c r="G30" s="606" t="e">
        <f>COUNTIFS(#REF!,"&gt;=35",#REF!,"&lt;=44",#REF!,"African American /Black",#REF!,"Female",#REF!,"NO")</f>
        <v>#REF!</v>
      </c>
      <c r="H30" s="609" t="e">
        <f>COUNTIFS(#REF!,"&gt;=35",#REF!,"&lt;=44",#REF!,"African American /Black",#REF!,"Transgender")</f>
        <v>#REF!</v>
      </c>
      <c r="I30" s="608" t="e">
        <f>COUNTIFS(#REF!,"&gt;=35",#REF!,"&lt;=44",#REF!,"Native Hawaiian / Other Pacific Islander",#REF!,"Male")</f>
        <v>#REF!</v>
      </c>
      <c r="J30" s="606" t="e">
        <f>COUNTIFS(#REF!,"&gt;=35",#REF!,"&lt;=44",#REF!,"Native Hawaiian / Other Pacific Islander",#REF!,"Female",#REF!,"NO")</f>
        <v>#REF!</v>
      </c>
      <c r="K30" s="609" t="e">
        <f>COUNTIFS(#REF!,"&gt;=35",#REF!,"&lt;=44",#REF!,"Native Hawaiian / Other Pacific Islander",#REF!,"Transgender")</f>
        <v>#REF!</v>
      </c>
      <c r="L30" s="608" t="e">
        <f>COUNTIFS(#REF!,"&gt;=35",#REF!,"&lt;=44",#REF!,"Asian",#REF!,"Male")</f>
        <v>#REF!</v>
      </c>
      <c r="M30" s="606" t="e">
        <f>COUNTIFS(#REF!,"&gt;=35",#REF!,"&lt;=44",#REF!,"Asian",#REF!,"Female",#REF!,"NO")</f>
        <v>#REF!</v>
      </c>
      <c r="N30" s="609" t="e">
        <f>COUNTIFS(#REF!,"&gt;=35",#REF!,"&lt;=44",#REF!,"Asian",#REF!,"Transgender")</f>
        <v>#REF!</v>
      </c>
      <c r="O30" s="608" t="e">
        <f>COUNTIFS(#REF!,"&gt;=35",#REF!,"&lt;=44",#REF!,"American Indian / Alaska Native",#REF!,"Male")</f>
        <v>#REF!</v>
      </c>
      <c r="P30" s="606" t="e">
        <f>COUNTIFS(#REF!,"&gt;=35",#REF!,"&lt;=44",#REF!,"American Indian / Alaska Native",#REF!,"Female",#REF!,"NO")</f>
        <v>#REF!</v>
      </c>
      <c r="Q30" s="609" t="e">
        <f>COUNTIFS(#REF!,"&gt;=35",#REF!,"&lt;=44",#REF!,"American Indian / Alaska Native",#REF!,"Transgender")</f>
        <v>#REF!</v>
      </c>
      <c r="R30" s="608" t="e">
        <f>COUNTIFS(#REF!,"&gt;=35",#REF!,"&lt;=44",#REF!,"More than one race reported",#REF!,"Male")</f>
        <v>#REF!</v>
      </c>
      <c r="S30" s="606" t="e">
        <f>COUNTIFS(#REF!,"&gt;=35",#REF!,"&lt;=44",#REF!,"More than one race reported",#REF!,"Female",#REF!,"NO")</f>
        <v>#REF!</v>
      </c>
      <c r="T30" s="609" t="e">
        <f>COUNTIFS(#REF!,"&gt;=35",#REF!,"&lt;=44",#REF!,"More than one race reported",#REF!,"Transgender")</f>
        <v>#REF!</v>
      </c>
      <c r="U30" s="608" t="e">
        <f>COUNTIFS(#REF!,"&gt;=35",#REF!,"&lt;=44",#REF!,"Unknown",#REF!,"Male")</f>
        <v>#REF!</v>
      </c>
      <c r="V30" s="606" t="e">
        <f>COUNTIFS(#REF!,"&gt;=35",#REF!,"&lt;=44",#REF!,"Unknown",#REF!,"Female",#REF!,"NO")</f>
        <v>#REF!</v>
      </c>
      <c r="W30" s="609" t="e">
        <f>COUNTIFS(#REF!,"&gt;=35",#REF!,"&lt;=44",#REF!,"Unknown",#REF!,"Transgender")</f>
        <v>#REF!</v>
      </c>
      <c r="X30" s="610" t="e">
        <f t="shared" ref="X30:Z30" si="10">C30+F30+I30+L30+O30+R30+U30</f>
        <v>#REF!</v>
      </c>
      <c r="Y30" s="611" t="e">
        <f t="shared" si="10"/>
        <v>#REF!</v>
      </c>
      <c r="Z30" s="612" t="e">
        <f t="shared" si="10"/>
        <v>#REF!</v>
      </c>
      <c r="AA30" s="613" t="s">
        <v>633</v>
      </c>
      <c r="AB30" s="614" t="e">
        <f>COUNTIFS(#REF!,"&gt;=35",#REF!,"&lt;=44",#REF!,"Not Hispanic or Latino",#REF!,"Male")</f>
        <v>#REF!</v>
      </c>
      <c r="AC30" s="615" t="e">
        <f>COUNTIFS(#REF!,"&gt;=35",#REF!,"&lt;=44",#REF!,"Not Hispanic or Latino",#REF!,"Female",#REF!,"NO")</f>
        <v>#REF!</v>
      </c>
      <c r="AD30" s="616" t="e">
        <f>COUNTIFS(#REF!,"&gt;=35",#REF!,"&lt;=44",#REF!,"Not Hispanic or Latino",#REF!,"Transgender")</f>
        <v>#REF!</v>
      </c>
      <c r="AE30" s="617" t="e">
        <f>COUNTIFS(#REF!,"&gt;=35",#REF!,"&lt;=44",#REF!,"Hispanic-Latino ",#REF!,"Male")</f>
        <v>#REF!</v>
      </c>
      <c r="AF30" s="615" t="e">
        <f>COUNTIFS(#REF!,"&gt;=35",#REF!,"&lt;=44",#REF!,"Hispanic-Latino ",#REF!,"Female",#REF!,"NO")</f>
        <v>#REF!</v>
      </c>
      <c r="AG30" s="616" t="e">
        <f>COUNTIFS(#REF!,"&gt;=35",#REF!,"&lt;=44",#REF!,"Hispanic-Latino ",#REF!,"Transgender")</f>
        <v>#REF!</v>
      </c>
      <c r="AH30" s="617" t="e">
        <f>COUNTIFS(#REF!,"&gt;=35",#REF!,"&lt;=44",#REF!,"Unknown",#REF!,"Male")</f>
        <v>#REF!</v>
      </c>
      <c r="AI30" s="615" t="e">
        <f>COUNTIFS(#REF!,"&gt;=35",#REF!,"&lt;=44",#REF!,"Unknown",#REF!,"Female",#REF!,"NO")</f>
        <v>#REF!</v>
      </c>
      <c r="AJ30" s="618" t="e">
        <f>COUNTIFS(#REF!,"&gt;=35",#REF!,"&lt;=44",#REF!,"Unknown",#REF!,"Transgender")</f>
        <v>#REF!</v>
      </c>
      <c r="AK30" s="619" t="e">
        <f t="shared" ref="AK30:AM30" si="11">AB30+AE30+AH30</f>
        <v>#REF!</v>
      </c>
      <c r="AL30" s="620" t="e">
        <f t="shared" si="11"/>
        <v>#REF!</v>
      </c>
      <c r="AM30" s="621" t="e">
        <f t="shared" si="11"/>
        <v>#REF!</v>
      </c>
    </row>
    <row r="31" spans="1:39" ht="15" customHeight="1" x14ac:dyDescent="0.25">
      <c r="A31" s="966" t="s">
        <v>634</v>
      </c>
      <c r="B31" s="714"/>
      <c r="C31" s="605" t="e">
        <f>COUNTIFS(#REF!,"&gt;=45",#REF!,"&lt;=54",#REF!,"White",#REF!,"Male")</f>
        <v>#REF!</v>
      </c>
      <c r="D31" s="606" t="e">
        <f>COUNTIFS(#REF!,"&gt;=45",#REF!,"&lt;=54",#REF!,"White",#REF!,"Female",#REF!,"NO")</f>
        <v>#REF!</v>
      </c>
      <c r="E31" s="607" t="e">
        <f>COUNTIFS(#REF!,"&gt;=45",#REF!,"&lt;=54",#REF!,"White",#REF!,"Transgender")</f>
        <v>#REF!</v>
      </c>
      <c r="F31" s="608" t="e">
        <f>COUNTIFS(#REF!,"&gt;=45",#REF!,"&lt;=54",#REF!,"African American /Black",#REF!,"Male")</f>
        <v>#REF!</v>
      </c>
      <c r="G31" s="606" t="e">
        <f>COUNTIFS(#REF!,"&gt;=45",#REF!,"&lt;=54",#REF!,"African American /Black",#REF!,"Female",#REF!,"NO")</f>
        <v>#REF!</v>
      </c>
      <c r="H31" s="609" t="e">
        <f>COUNTIFS(#REF!,"&gt;=45",#REF!,"&lt;=54",#REF!,"African American /Black",#REF!,"Transgender")</f>
        <v>#REF!</v>
      </c>
      <c r="I31" s="608" t="e">
        <f>COUNTIFS(#REF!,"&gt;=45",#REF!,"&lt;=54",#REF!,"Native Hawaiian / Other Pacific Islander",#REF!,"Male")</f>
        <v>#REF!</v>
      </c>
      <c r="J31" s="606" t="e">
        <f>COUNTIFS(#REF!,"&gt;=45",#REF!,"&lt;=54",#REF!,"Native Hawaiian / Other Pacific Islander",#REF!,"Female",#REF!,"NO")</f>
        <v>#REF!</v>
      </c>
      <c r="K31" s="609" t="e">
        <f>COUNTIFS(#REF!,"&gt;=45",#REF!,"&lt;=54",#REF!,"Native Hawaiian / Other Pacific Islander",#REF!,"Transgender")</f>
        <v>#REF!</v>
      </c>
      <c r="L31" s="608" t="e">
        <f>COUNTIFS(#REF!,"&gt;=45",#REF!,"&lt;=54",#REF!,"Asian",#REF!,"Male")</f>
        <v>#REF!</v>
      </c>
      <c r="M31" s="606" t="e">
        <f>COUNTIFS(#REF!,"&gt;=45",#REF!,"&lt;=54",#REF!,"Asian",#REF!,"Female",#REF!,"NO")</f>
        <v>#REF!</v>
      </c>
      <c r="N31" s="609" t="e">
        <f>COUNTIFS(#REF!,"&gt;=45",#REF!,"&lt;=54",#REF!,"Asian",#REF!,"Transgender")</f>
        <v>#REF!</v>
      </c>
      <c r="O31" s="608" t="e">
        <f>COUNTIFS(#REF!,"&gt;=45",#REF!,"&lt;=54",#REF!,"American Indian / Alaska Native",#REF!,"Male")</f>
        <v>#REF!</v>
      </c>
      <c r="P31" s="606" t="e">
        <f>COUNTIFS(#REF!,"&gt;=45",#REF!,"&lt;=54",#REF!,"American Indian / Alaska Native",#REF!,"Female",#REF!,"NO")</f>
        <v>#REF!</v>
      </c>
      <c r="Q31" s="609" t="e">
        <f>COUNTIFS(#REF!,"&gt;=45",#REF!,"&lt;=54",#REF!,"American Indian / Alaska Native",#REF!,"Transgender")</f>
        <v>#REF!</v>
      </c>
      <c r="R31" s="608" t="e">
        <f>COUNTIFS(#REF!,"&gt;=45",#REF!,"&lt;=54",#REF!,"More than one race reported",#REF!,"Male")</f>
        <v>#REF!</v>
      </c>
      <c r="S31" s="606" t="e">
        <f>COUNTIFS(#REF!,"&gt;=45",#REF!,"&lt;=54",#REF!,"More than one race reported",#REF!,"Female",#REF!,"NO")</f>
        <v>#REF!</v>
      </c>
      <c r="T31" s="609" t="e">
        <f>COUNTIFS(#REF!,"&gt;=45",#REF!,"&lt;=54",#REF!,"More than one race reported",#REF!,"Transgender")</f>
        <v>#REF!</v>
      </c>
      <c r="U31" s="608" t="e">
        <f>COUNTIFS(#REF!,"&gt;=45",#REF!,"&lt;=54",#REF!,"Unknown",#REF!,"Male")</f>
        <v>#REF!</v>
      </c>
      <c r="V31" s="606" t="e">
        <f>COUNTIFS(#REF!,"&gt;=45",#REF!,"&lt;=54",#REF!,"Unknown",#REF!,"Female",#REF!,"NO")</f>
        <v>#REF!</v>
      </c>
      <c r="W31" s="609" t="e">
        <f>COUNTIFS(#REF!,"&gt;=45",#REF!,"&lt;=54",#REF!,"Unknown",#REF!,"Transgender")</f>
        <v>#REF!</v>
      </c>
      <c r="X31" s="610" t="e">
        <f t="shared" ref="X31:Z31" si="12">C31+F31+I31+L31+O31+R31+U31</f>
        <v>#REF!</v>
      </c>
      <c r="Y31" s="611" t="e">
        <f t="shared" si="12"/>
        <v>#REF!</v>
      </c>
      <c r="Z31" s="612" t="e">
        <f t="shared" si="12"/>
        <v>#REF!</v>
      </c>
      <c r="AA31" s="613" t="s">
        <v>634</v>
      </c>
      <c r="AB31" s="614" t="e">
        <f>COUNTIFS(#REF!,"&gt;=45",#REF!,"&lt;=54",#REF!,"Not Hispanic or Latino",#REF!,"Male")</f>
        <v>#REF!</v>
      </c>
      <c r="AC31" s="615" t="e">
        <f>COUNTIFS(#REF!,"&gt;=45",#REF!,"&lt;=54",#REF!,"Not Hispanic or Latino",#REF!,"Female",#REF!,"NO")</f>
        <v>#REF!</v>
      </c>
      <c r="AD31" s="616" t="e">
        <f>COUNTIFS(#REF!,"&gt;=45",#REF!,"&lt;=54",#REF!,"Not Hispanic or Latino",#REF!,"Transgender")</f>
        <v>#REF!</v>
      </c>
      <c r="AE31" s="617" t="e">
        <f>COUNTIFS(#REF!,"&gt;=45",#REF!,"&lt;=54",#REF!,"Hispanic-Latino ",#REF!,"Male")</f>
        <v>#REF!</v>
      </c>
      <c r="AF31" s="615" t="e">
        <f>COUNTIFS(#REF!,"&gt;=45",#REF!,"&lt;=54",#REF!,"Hispanic-Latino ",#REF!,"Female",#REF!,"NO")</f>
        <v>#REF!</v>
      </c>
      <c r="AG31" s="616" t="e">
        <f>COUNTIFS(#REF!,"&gt;=45",#REF!,"&lt;=54",#REF!,"Hispanic-Latino ",#REF!,"Transgender")</f>
        <v>#REF!</v>
      </c>
      <c r="AH31" s="617" t="e">
        <f>COUNTIFS(#REF!,"&gt;=45",#REF!,"&lt;=54",#REF!,"Unknown",#REF!,"Male")</f>
        <v>#REF!</v>
      </c>
      <c r="AI31" s="615" t="e">
        <f>COUNTIFS(#REF!,"&gt;=45",#REF!,"&lt;=54",#REF!,"Unknown",#REF!,"Female",#REF!,"NO")</f>
        <v>#REF!</v>
      </c>
      <c r="AJ31" s="618" t="e">
        <f>COUNTIFS(#REF!,"&gt;=45",#REF!,"&lt;=54",#REF!,"Unknown",#REF!,"Transgender")</f>
        <v>#REF!</v>
      </c>
      <c r="AK31" s="619" t="e">
        <f t="shared" ref="AK31:AM31" si="13">AB31+AE31+AH31</f>
        <v>#REF!</v>
      </c>
      <c r="AL31" s="620" t="e">
        <f t="shared" si="13"/>
        <v>#REF!</v>
      </c>
      <c r="AM31" s="621" t="e">
        <f t="shared" si="13"/>
        <v>#REF!</v>
      </c>
    </row>
    <row r="32" spans="1:39" ht="15" customHeight="1" x14ac:dyDescent="0.25">
      <c r="A32" s="966" t="s">
        <v>635</v>
      </c>
      <c r="B32" s="714"/>
      <c r="C32" s="605" t="e">
        <f>COUNTIFS(#REF!,"&gt;=55",#REF!,"&lt;=64",#REF!,"White",#REF!,"Male")</f>
        <v>#REF!</v>
      </c>
      <c r="D32" s="606" t="e">
        <f>COUNTIFS(#REF!,"&gt;=55",#REF!,"&lt;=64",#REF!,"White",#REF!,"Female",#REF!,"NO")</f>
        <v>#REF!</v>
      </c>
      <c r="E32" s="607" t="e">
        <f>COUNTIFS(#REF!,"&gt;=55",#REF!,"&lt;=64",#REF!,"White",#REF!,"Transgender")</f>
        <v>#REF!</v>
      </c>
      <c r="F32" s="608" t="e">
        <f>COUNTIFS(#REF!,"&gt;=55",#REF!,"&lt;=64",#REF!,"African American /Black",#REF!,"Male")</f>
        <v>#REF!</v>
      </c>
      <c r="G32" s="606" t="e">
        <f>COUNTIFS(#REF!,"&gt;=55",#REF!,"&lt;=64",#REF!,"African American /Black",#REF!,"Female",#REF!,"NO")</f>
        <v>#REF!</v>
      </c>
      <c r="H32" s="609" t="e">
        <f>COUNTIFS(#REF!,"&gt;=55",#REF!,"&lt;=64",#REF!,"African American /Black",#REF!,"Transgender")</f>
        <v>#REF!</v>
      </c>
      <c r="I32" s="608" t="e">
        <f>COUNTIFS(#REF!,"&gt;=55",#REF!,"&lt;=64",#REF!,"Native Hawaiian / Other Pacific Islander",#REF!,"Male")</f>
        <v>#REF!</v>
      </c>
      <c r="J32" s="606" t="e">
        <f>COUNTIFS(#REF!,"&gt;=55",#REF!,"&lt;=64",#REF!,"Native Hawaiian / Other Pacific Islander",#REF!,"Female",#REF!,"NO")</f>
        <v>#REF!</v>
      </c>
      <c r="K32" s="609" t="e">
        <f>COUNTIFS(#REF!,"&gt;=55",#REF!,"&lt;=64",#REF!,"Native Hawaiian / Other Pacific Islander",#REF!,"Transgender")</f>
        <v>#REF!</v>
      </c>
      <c r="L32" s="608" t="e">
        <f>COUNTIFS(#REF!,"&gt;=55",#REF!,"&lt;=64",#REF!,"Asian",#REF!,"Male")</f>
        <v>#REF!</v>
      </c>
      <c r="M32" s="606" t="e">
        <f>COUNTIFS(#REF!,"&gt;=55",#REF!,"&lt;=64",#REF!,"Asian",#REF!,"Female",#REF!,"NO")</f>
        <v>#REF!</v>
      </c>
      <c r="N32" s="609" t="e">
        <f>COUNTIFS(#REF!,"&gt;=55",#REF!,"&lt;=64",#REF!,"Asian",#REF!,"Transgender")</f>
        <v>#REF!</v>
      </c>
      <c r="O32" s="608" t="e">
        <f>COUNTIFS(#REF!,"&gt;=55",#REF!,"&lt;=64",#REF!,"American Indian / Alaska Native",#REF!,"Male")</f>
        <v>#REF!</v>
      </c>
      <c r="P32" s="606" t="e">
        <f>COUNTIFS(#REF!,"&gt;=55",#REF!,"&lt;=64",#REF!,"American Indian / Alaska Native",#REF!,"Female",#REF!,"NO")</f>
        <v>#REF!</v>
      </c>
      <c r="Q32" s="609" t="e">
        <f>COUNTIFS(#REF!,"&gt;=55",#REF!,"&lt;=64",#REF!,"American Indian / Alaska Native",#REF!,"Transgender")</f>
        <v>#REF!</v>
      </c>
      <c r="R32" s="608" t="e">
        <f>COUNTIFS(#REF!,"&gt;=55",#REF!,"&lt;=64",#REF!,"More than one race reported",#REF!,"Male")</f>
        <v>#REF!</v>
      </c>
      <c r="S32" s="606" t="e">
        <f>COUNTIFS(#REF!,"&gt;=55",#REF!,"&lt;=64",#REF!,"More than one race reported",#REF!,"Female",#REF!,"NO")</f>
        <v>#REF!</v>
      </c>
      <c r="T32" s="609" t="e">
        <f>COUNTIFS(#REF!,"&gt;=55",#REF!,"&lt;=64",#REF!,"More than one race reported",#REF!,"Transgender")</f>
        <v>#REF!</v>
      </c>
      <c r="U32" s="608" t="e">
        <f>COUNTIFS(#REF!,"&gt;=55",#REF!,"&lt;=64",#REF!,"Unknown",#REF!,"Male")</f>
        <v>#REF!</v>
      </c>
      <c r="V32" s="606" t="e">
        <f>COUNTIFS(#REF!,"&gt;=55",#REF!,"&lt;=64",#REF!,"Unknown",#REF!,"Female",#REF!,"NO")</f>
        <v>#REF!</v>
      </c>
      <c r="W32" s="609" t="e">
        <f>COUNTIFS(#REF!,"&gt;=55",#REF!,"&lt;=64",#REF!,"Unknown",#REF!,"Transgender")</f>
        <v>#REF!</v>
      </c>
      <c r="X32" s="610" t="e">
        <f t="shared" ref="X32:Z32" si="14">C32+F32+I32+L32+O32+R32+U32</f>
        <v>#REF!</v>
      </c>
      <c r="Y32" s="611" t="e">
        <f t="shared" si="14"/>
        <v>#REF!</v>
      </c>
      <c r="Z32" s="612" t="e">
        <f t="shared" si="14"/>
        <v>#REF!</v>
      </c>
      <c r="AA32" s="613" t="s">
        <v>635</v>
      </c>
      <c r="AB32" s="614" t="e">
        <f>COUNTIFS(#REF!,"&gt;=55",#REF!,"&lt;=64",#REF!,"Not Hispanic or Latino",#REF!,"Male")</f>
        <v>#REF!</v>
      </c>
      <c r="AC32" s="615" t="e">
        <f>COUNTIFS(#REF!,"&gt;=55",#REF!,"&lt;=64",#REF!,"Not Hispanic or Latino",#REF!,"Female",#REF!,"NO")</f>
        <v>#REF!</v>
      </c>
      <c r="AD32" s="616" t="e">
        <f>COUNTIFS(#REF!,"&gt;=55",#REF!,"&lt;=64",#REF!,"Not Hispanic or Latino",#REF!,"Transgender")</f>
        <v>#REF!</v>
      </c>
      <c r="AE32" s="617" t="e">
        <f>COUNTIFS(#REF!,"&gt;=55",#REF!,"&lt;=64",#REF!,"Hispanic-Latino ",#REF!,"Male")</f>
        <v>#REF!</v>
      </c>
      <c r="AF32" s="615" t="e">
        <f>COUNTIFS(#REF!,"&gt;=55",#REF!,"&lt;=64",#REF!,"Hispanic-Latino ",#REF!,"Female",#REF!,"NO")</f>
        <v>#REF!</v>
      </c>
      <c r="AG32" s="616" t="e">
        <f>COUNTIFS(#REF!,"&gt;=55",#REF!,"&lt;=64",#REF!,"Hispanic-Latino ",#REF!,"Transgender")</f>
        <v>#REF!</v>
      </c>
      <c r="AH32" s="617" t="e">
        <f>COUNTIFS(#REF!,"&gt;=55",#REF!,"&lt;=64",#REF!,"Unknown",#REF!,"Male")</f>
        <v>#REF!</v>
      </c>
      <c r="AI32" s="615" t="e">
        <f>COUNTIFS(#REF!,"&gt;=55",#REF!,"&lt;=64",#REF!,"Unknown",#REF!,"Female",#REF!,"NO")</f>
        <v>#REF!</v>
      </c>
      <c r="AJ32" s="618" t="e">
        <f>COUNTIFS(#REF!,"&gt;=55",#REF!,"&lt;=64",#REF!,"Unknown",#REF!,"Transgender")</f>
        <v>#REF!</v>
      </c>
      <c r="AK32" s="619" t="e">
        <f t="shared" ref="AK32:AM32" si="15">AB32+AE32+AH32</f>
        <v>#REF!</v>
      </c>
      <c r="AL32" s="620" t="e">
        <f t="shared" si="15"/>
        <v>#REF!</v>
      </c>
      <c r="AM32" s="621" t="e">
        <f t="shared" si="15"/>
        <v>#REF!</v>
      </c>
    </row>
    <row r="33" spans="1:39" ht="15" customHeight="1" x14ac:dyDescent="0.25">
      <c r="A33" s="966" t="s">
        <v>636</v>
      </c>
      <c r="B33" s="714"/>
      <c r="C33" s="605" t="e">
        <f>COUNTIFS(#REF!,"&gt;=65",#REF!,"&lt;=74",#REF!,"White",#REF!,"Male")</f>
        <v>#REF!</v>
      </c>
      <c r="D33" s="606" t="e">
        <f>COUNTIFS(#REF!,"&gt;=65",#REF!,"&lt;=74",#REF!,"White",#REF!,"Female",#REF!,"NO")</f>
        <v>#REF!</v>
      </c>
      <c r="E33" s="607" t="e">
        <f>COUNTIFS(#REF!,"&gt;=65",#REF!,"&lt;=74",#REF!,"White",#REF!,"Transgender")</f>
        <v>#REF!</v>
      </c>
      <c r="F33" s="608" t="e">
        <f>COUNTIFS(#REF!,"&gt;=65",#REF!,"&lt;=74",#REF!,"African American /Black",#REF!,"Male")</f>
        <v>#REF!</v>
      </c>
      <c r="G33" s="606" t="e">
        <f>COUNTIFS(#REF!,"&gt;=65",#REF!,"&lt;=74",#REF!,"African American /Black",#REF!,"Female",#REF!,"NO")</f>
        <v>#REF!</v>
      </c>
      <c r="H33" s="609" t="e">
        <f>COUNTIFS(#REF!,"&gt;=65",#REF!,"&lt;=74",#REF!,"African American /Black",#REF!,"Transgender")</f>
        <v>#REF!</v>
      </c>
      <c r="I33" s="608" t="e">
        <f>COUNTIFS(#REF!,"&gt;=65",#REF!,"&lt;=74",#REF!,"Native Hawaiian / Other Pacific Islander",#REF!,"Male")</f>
        <v>#REF!</v>
      </c>
      <c r="J33" s="606" t="e">
        <f>COUNTIFS(#REF!,"&gt;=65",#REF!,"&lt;=74",#REF!,"Native Hawaiian / Other Pacific Islander",#REF!,"Female",#REF!,"NO")</f>
        <v>#REF!</v>
      </c>
      <c r="K33" s="609" t="e">
        <f>COUNTIFS(#REF!,"&gt;=65",#REF!,"&lt;=74",#REF!,"Native Hawaiian / Other Pacific Islander",#REF!,"Transgender")</f>
        <v>#REF!</v>
      </c>
      <c r="L33" s="608" t="e">
        <f>COUNTIFS(#REF!,"&gt;=65",#REF!,"&lt;=74",#REF!,"Asian",#REF!,"Male")</f>
        <v>#REF!</v>
      </c>
      <c r="M33" s="606" t="e">
        <f>COUNTIFS(#REF!,"&gt;=65",#REF!,"&lt;=74",#REF!,"Asian",#REF!,"Female",#REF!,"NO")</f>
        <v>#REF!</v>
      </c>
      <c r="N33" s="609" t="e">
        <f>COUNTIFS(#REF!,"&gt;=65",#REF!,"&lt;=74",#REF!,"Asian",#REF!,"Transgender")</f>
        <v>#REF!</v>
      </c>
      <c r="O33" s="608" t="e">
        <f>COUNTIFS(#REF!,"&gt;=65",#REF!,"&lt;=74",#REF!,"American Indian / Alaska Native",#REF!,"Male")</f>
        <v>#REF!</v>
      </c>
      <c r="P33" s="606" t="e">
        <f>COUNTIFS(#REF!,"&gt;=65",#REF!,"&lt;=74",#REF!,"American Indian / Alaska Native",#REF!,"Female",#REF!,"NO")</f>
        <v>#REF!</v>
      </c>
      <c r="Q33" s="609" t="e">
        <f>COUNTIFS(#REF!,"&gt;=65",#REF!,"&lt;=74",#REF!,"American Indian / Alaska Native",#REF!,"Transgender")</f>
        <v>#REF!</v>
      </c>
      <c r="R33" s="608" t="e">
        <f>COUNTIFS(#REF!,"&gt;=65",#REF!,"&lt;=74",#REF!,"More than one race reported",#REF!,"Male")</f>
        <v>#REF!</v>
      </c>
      <c r="S33" s="606" t="e">
        <f>COUNTIFS(#REF!,"&gt;=65",#REF!,"&lt;=74",#REF!,"More than one race reported",#REF!,"Female",#REF!,"NO")</f>
        <v>#REF!</v>
      </c>
      <c r="T33" s="609" t="e">
        <f>COUNTIFS(#REF!,"&gt;=65",#REF!,"&lt;=74",#REF!,"More than one race reported",#REF!,"Transgender")</f>
        <v>#REF!</v>
      </c>
      <c r="U33" s="608" t="e">
        <f>COUNTIFS(#REF!,"&gt;=65",#REF!,"&lt;=74",#REF!,"Unknown",#REF!,"Male")</f>
        <v>#REF!</v>
      </c>
      <c r="V33" s="606" t="e">
        <f>COUNTIFS(#REF!,"&gt;=65",#REF!,"&lt;=74",#REF!,"Unknown",#REF!,"Female",#REF!,"NO")</f>
        <v>#REF!</v>
      </c>
      <c r="W33" s="609" t="e">
        <f>COUNTIFS(#REF!,"&gt;=65",#REF!,"&lt;=74",#REF!,"Unknown",#REF!,"Transgender")</f>
        <v>#REF!</v>
      </c>
      <c r="X33" s="610" t="e">
        <f t="shared" ref="X33:Z33" si="16">C33+F33+I33+L33+O33+R33+U33</f>
        <v>#REF!</v>
      </c>
      <c r="Y33" s="611" t="e">
        <f t="shared" si="16"/>
        <v>#REF!</v>
      </c>
      <c r="Z33" s="612" t="e">
        <f t="shared" si="16"/>
        <v>#REF!</v>
      </c>
      <c r="AA33" s="613" t="s">
        <v>636</v>
      </c>
      <c r="AB33" s="614" t="e">
        <f>COUNTIFS(#REF!,"&gt;=65",#REF!,"&lt;=74",#REF!,"Not Hispanic or Latino",#REF!,"Male")</f>
        <v>#REF!</v>
      </c>
      <c r="AC33" s="615" t="e">
        <f>COUNTIFS(#REF!,"&gt;=65",#REF!,"&lt;=74",#REF!,"Not Hispanic or Latino",#REF!,"Female",#REF!,"NO")</f>
        <v>#REF!</v>
      </c>
      <c r="AD33" s="616" t="e">
        <f>COUNTIFS(#REF!,"&gt;=65",#REF!,"&lt;=74",#REF!,"Not Hispanic or Latino",#REF!,"Transgender")</f>
        <v>#REF!</v>
      </c>
      <c r="AE33" s="617" t="e">
        <f>COUNTIFS(#REF!,"&gt;=65",#REF!,"&lt;=74",#REF!,"Hispanic-Latino ",#REF!,"Male")</f>
        <v>#REF!</v>
      </c>
      <c r="AF33" s="615" t="e">
        <f>COUNTIFS(#REF!,"&gt;=65",#REF!,"&lt;=74",#REF!,"Hispanic-Latino ",#REF!,"Female",#REF!,"NO")</f>
        <v>#REF!</v>
      </c>
      <c r="AG33" s="616" t="e">
        <f>COUNTIFS(#REF!,"&gt;=65",#REF!,"&lt;=74",#REF!,"Hispanic-Latino ",#REF!,"Transgender")</f>
        <v>#REF!</v>
      </c>
      <c r="AH33" s="617" t="e">
        <f>COUNTIFS(#REF!,"&gt;=65",#REF!,"&lt;=74",#REF!,"Unknown",#REF!,"Male")</f>
        <v>#REF!</v>
      </c>
      <c r="AI33" s="615" t="e">
        <f>COUNTIFS(#REF!,"&gt;=65",#REF!,"&lt;=74",#REF!,"Unknown",#REF!,"Female",#REF!,"NO")</f>
        <v>#REF!</v>
      </c>
      <c r="AJ33" s="618" t="e">
        <f>COUNTIFS(#REF!,"&gt;=65",#REF!,"&lt;=74",#REF!,"Unknown",#REF!,"Transgender")</f>
        <v>#REF!</v>
      </c>
      <c r="AK33" s="619" t="e">
        <f t="shared" ref="AK33:AM33" si="17">AB33+AE33+AH33</f>
        <v>#REF!</v>
      </c>
      <c r="AL33" s="620" t="e">
        <f t="shared" si="17"/>
        <v>#REF!</v>
      </c>
      <c r="AM33" s="621" t="e">
        <f t="shared" si="17"/>
        <v>#REF!</v>
      </c>
    </row>
    <row r="34" spans="1:39" ht="15" customHeight="1" x14ac:dyDescent="0.25">
      <c r="A34" s="966" t="s">
        <v>637</v>
      </c>
      <c r="B34" s="714"/>
      <c r="C34" s="608" t="e">
        <f>COUNTIFS(#REF!,"&gt;=75",#REF!,"&lt;=150",#REF!,"White",#REF!,"Male")</f>
        <v>#REF!</v>
      </c>
      <c r="D34" s="606" t="e">
        <f>COUNTIFS(#REF!,"&gt;=75",#REF!,"&lt;=150",#REF!,"White",#REF!,"Female",#REF!,"NO")</f>
        <v>#REF!</v>
      </c>
      <c r="E34" s="607" t="e">
        <f>COUNTIFS(#REF!,"&gt;=75",#REF!,"&lt;=150",#REF!,"White",#REF!,"Transgender")</f>
        <v>#REF!</v>
      </c>
      <c r="F34" s="608" t="e">
        <f>COUNTIFS(#REF!,"&gt;=75",#REF!,"&lt;=150",#REF!,"African American /Black",#REF!,"Male")</f>
        <v>#REF!</v>
      </c>
      <c r="G34" s="606" t="e">
        <f>COUNTIFS(#REF!,"&gt;=75",#REF!,"&lt;=150",#REF!,"African American /Black",#REF!,"Female",#REF!,"NO")</f>
        <v>#REF!</v>
      </c>
      <c r="H34" s="609" t="e">
        <f>COUNTIFS(#REF!,"&gt;=75",#REF!,"&lt;=150",#REF!,"African American /Black",#REF!,"Transgender")</f>
        <v>#REF!</v>
      </c>
      <c r="I34" s="608" t="e">
        <f>COUNTIFS(#REF!,"&gt;=75",#REF!,"&lt;=150",#REF!,"Native Hawaiian / Other Pacific Islander",#REF!,"Male")</f>
        <v>#REF!</v>
      </c>
      <c r="J34" s="606" t="e">
        <f>COUNTIFS(#REF!,"&gt;=75",#REF!,"&lt;=150",#REF!,"Native Hawaiian / Other Pacific Islander",#REF!,"Female",#REF!,"NO")</f>
        <v>#REF!</v>
      </c>
      <c r="K34" s="609" t="e">
        <f>COUNTIFS(#REF!,"&gt;=75",#REF!,"&lt;=150",#REF!,"Native Hawaiian / Other Pacific Islander",#REF!,"Transgender")</f>
        <v>#REF!</v>
      </c>
      <c r="L34" s="608" t="e">
        <f>COUNTIFS(#REF!,"&gt;=75",#REF!,"&lt;=150",#REF!,"Asian",#REF!,"Male")</f>
        <v>#REF!</v>
      </c>
      <c r="M34" s="606" t="e">
        <f>COUNTIFS(#REF!,"&gt;=75",#REF!,"&lt;=150",#REF!,"Asian",#REF!,"Female",#REF!,"NO")</f>
        <v>#REF!</v>
      </c>
      <c r="N34" s="609" t="e">
        <f>COUNTIFS(#REF!,"&gt;=75",#REF!,"&lt;=150",#REF!,"Asian",#REF!,"Transgender")</f>
        <v>#REF!</v>
      </c>
      <c r="O34" s="608" t="e">
        <f>COUNTIFS(#REF!,"&gt;=75",#REF!,"&lt;=150",#REF!,"American Indian / Alaska Native",#REF!,"Male")</f>
        <v>#REF!</v>
      </c>
      <c r="P34" s="606" t="e">
        <f>COUNTIFS(#REF!,"&gt;=75",#REF!,"&lt;=150",#REF!,"American Indian / Alaska Native",#REF!,"Female",#REF!,"NO")</f>
        <v>#REF!</v>
      </c>
      <c r="Q34" s="609" t="e">
        <f>COUNTIFS(#REF!,"&gt;=75",#REF!,"&lt;=150",#REF!,"American Indian / Alaska Native",#REF!,"Transgender")</f>
        <v>#REF!</v>
      </c>
      <c r="R34" s="608" t="e">
        <f>COUNTIFS(#REF!,"&lt;=75",#REF!,"&lt;=150",#REF!,"More than one race reported",#REF!,"Male")</f>
        <v>#REF!</v>
      </c>
      <c r="S34" s="606" t="e">
        <f>COUNTIFS(#REF!,"&gt;=75",#REF!,"&lt;=150",#REF!,"More than one race reported",#REF!,"Female",#REF!,"NO")</f>
        <v>#REF!</v>
      </c>
      <c r="T34" s="609" t="e">
        <f>COUNTIFS(#REF!,"&gt;=75",#REF!,"&lt;=150",#REF!,"More than one race reported",#REF!,"Transgender")</f>
        <v>#REF!</v>
      </c>
      <c r="U34" s="608" t="e">
        <f>COUNTIFS(#REF!,"&gt;=75",#REF!,"&lt;=150",#REF!,"Unknown",#REF!,"Male")</f>
        <v>#REF!</v>
      </c>
      <c r="V34" s="606" t="e">
        <f>COUNTIFS(#REF!,"&gt;=75",#REF!,"&lt;=150",#REF!,"Unknown",#REF!,"Female",#REF!,"NO")</f>
        <v>#REF!</v>
      </c>
      <c r="W34" s="609" t="e">
        <f>COUNTIFS(#REF!,"&gt;=75",#REF!,"&lt;=150",#REF!,"Unknown",#REF!,"Transgender")</f>
        <v>#REF!</v>
      </c>
      <c r="X34" s="610" t="e">
        <f t="shared" ref="X34:Z34" si="18">C34+F34+I34+L34+O34+R34+U34</f>
        <v>#REF!</v>
      </c>
      <c r="Y34" s="611" t="e">
        <f t="shared" si="18"/>
        <v>#REF!</v>
      </c>
      <c r="Z34" s="612" t="e">
        <f t="shared" si="18"/>
        <v>#REF!</v>
      </c>
      <c r="AA34" s="613" t="s">
        <v>638</v>
      </c>
      <c r="AB34" s="614" t="e">
        <f>COUNTIFS(#REF!,"&gt;=75",#REF!,"&lt;=150",#REF!,"Not Hispanic or Latino",#REF!,"Male")</f>
        <v>#REF!</v>
      </c>
      <c r="AC34" s="615" t="e">
        <f>COUNTIFS(#REF!,"&gt;=75",#REF!,"&lt;=150",#REF!,"Not Hispanic or Latino",#REF!,"Female",#REF!,"NO")</f>
        <v>#REF!</v>
      </c>
      <c r="AD34" s="616" t="e">
        <f>COUNTIFS(#REF!,"&gt;=75",#REF!,"&lt;=150",#REF!,"Not Hispanic or Latino",#REF!,"Transgender")</f>
        <v>#REF!</v>
      </c>
      <c r="AE34" s="617" t="e">
        <f>COUNTIFS(#REF!,"&gt;=75",#REF!,"&lt;=150",#REF!,"Hispanic-Latino ",#REF!,"Male")</f>
        <v>#REF!</v>
      </c>
      <c r="AF34" s="615" t="e">
        <f>COUNTIFS(#REF!,"&gt;=75",#REF!,"&lt;=150",#REF!,"Hispanic-Latino ",#REF!,"Female",#REF!,"NO")</f>
        <v>#REF!</v>
      </c>
      <c r="AG34" s="616" t="e">
        <f>COUNTIFS(#REF!,"&gt;=75",#REF!,"&lt;=150",#REF!,"Hispanic-Latino ",#REF!,"Transgender")</f>
        <v>#REF!</v>
      </c>
      <c r="AH34" s="617" t="e">
        <f>COUNTIFS(#REF!,"&gt;=75",#REF!,"&lt;=150",#REF!,"Unknown",#REF!,"Male")</f>
        <v>#REF!</v>
      </c>
      <c r="AI34" s="615" t="e">
        <f>COUNTIFS(#REF!,"&gt;=75",#REF!,"&lt;=150",#REF!,"Unknown",#REF!,"Female",#REF!,"NO")</f>
        <v>#REF!</v>
      </c>
      <c r="AJ34" s="618" t="e">
        <f>COUNTIFS(#REF!,"&gt;=75",#REF!,"&lt;=150",#REF!,"Unknown",#REF!,"Transgender")</f>
        <v>#REF!</v>
      </c>
      <c r="AK34" s="619" t="e">
        <f t="shared" ref="AK34:AM34" si="19">AB34+AE34+AH34</f>
        <v>#REF!</v>
      </c>
      <c r="AL34" s="620" t="e">
        <f t="shared" si="19"/>
        <v>#REF!</v>
      </c>
      <c r="AM34" s="621" t="e">
        <f t="shared" si="19"/>
        <v>#REF!</v>
      </c>
    </row>
    <row r="35" spans="1:39" ht="18.75" customHeight="1" x14ac:dyDescent="0.25">
      <c r="A35" s="967" t="s">
        <v>639</v>
      </c>
      <c r="B35" s="714"/>
      <c r="C35" s="622" t="e">
        <f t="shared" ref="C35:W35" si="20">SUM(C25:C34)</f>
        <v>#REF!</v>
      </c>
      <c r="D35" s="623" t="e">
        <f t="shared" si="20"/>
        <v>#REF!</v>
      </c>
      <c r="E35" s="624" t="e">
        <f t="shared" si="20"/>
        <v>#REF!</v>
      </c>
      <c r="F35" s="622" t="e">
        <f t="shared" si="20"/>
        <v>#REF!</v>
      </c>
      <c r="G35" s="623" t="e">
        <f t="shared" si="20"/>
        <v>#REF!</v>
      </c>
      <c r="H35" s="625" t="e">
        <f t="shared" si="20"/>
        <v>#REF!</v>
      </c>
      <c r="I35" s="622" t="e">
        <f t="shared" si="20"/>
        <v>#REF!</v>
      </c>
      <c r="J35" s="623" t="e">
        <f t="shared" si="20"/>
        <v>#REF!</v>
      </c>
      <c r="K35" s="626" t="e">
        <f t="shared" si="20"/>
        <v>#REF!</v>
      </c>
      <c r="L35" s="622" t="e">
        <f t="shared" si="20"/>
        <v>#REF!</v>
      </c>
      <c r="M35" s="623" t="e">
        <f t="shared" si="20"/>
        <v>#REF!</v>
      </c>
      <c r="N35" s="626" t="e">
        <f t="shared" si="20"/>
        <v>#REF!</v>
      </c>
      <c r="O35" s="622" t="e">
        <f t="shared" si="20"/>
        <v>#REF!</v>
      </c>
      <c r="P35" s="623" t="e">
        <f t="shared" si="20"/>
        <v>#REF!</v>
      </c>
      <c r="Q35" s="625" t="e">
        <f t="shared" si="20"/>
        <v>#REF!</v>
      </c>
      <c r="R35" s="622" t="e">
        <f t="shared" si="20"/>
        <v>#REF!</v>
      </c>
      <c r="S35" s="623" t="e">
        <f t="shared" si="20"/>
        <v>#REF!</v>
      </c>
      <c r="T35" s="625" t="e">
        <f t="shared" si="20"/>
        <v>#REF!</v>
      </c>
      <c r="U35" s="622" t="e">
        <f t="shared" si="20"/>
        <v>#REF!</v>
      </c>
      <c r="V35" s="623" t="e">
        <f t="shared" si="20"/>
        <v>#REF!</v>
      </c>
      <c r="W35" s="626" t="e">
        <f t="shared" si="20"/>
        <v>#REF!</v>
      </c>
      <c r="X35" s="622" t="e">
        <f t="shared" ref="X35:Z35" si="21">C35+F35+I35+L35+O35+R35+U35</f>
        <v>#REF!</v>
      </c>
      <c r="Y35" s="627" t="e">
        <f t="shared" si="21"/>
        <v>#REF!</v>
      </c>
      <c r="Z35" s="626" t="e">
        <f t="shared" si="21"/>
        <v>#REF!</v>
      </c>
      <c r="AA35" s="628" t="s">
        <v>640</v>
      </c>
      <c r="AB35" s="629" t="e">
        <f t="shared" ref="AB35:AJ35" si="22">SUM(AB25:AB34)</f>
        <v>#REF!</v>
      </c>
      <c r="AC35" s="630" t="e">
        <f t="shared" si="22"/>
        <v>#REF!</v>
      </c>
      <c r="AD35" s="631" t="e">
        <f t="shared" si="22"/>
        <v>#REF!</v>
      </c>
      <c r="AE35" s="629" t="e">
        <f t="shared" si="22"/>
        <v>#REF!</v>
      </c>
      <c r="AF35" s="630" t="e">
        <f t="shared" si="22"/>
        <v>#REF!</v>
      </c>
      <c r="AG35" s="631" t="e">
        <f t="shared" si="22"/>
        <v>#REF!</v>
      </c>
      <c r="AH35" s="629" t="e">
        <f t="shared" si="22"/>
        <v>#REF!</v>
      </c>
      <c r="AI35" s="630" t="e">
        <f t="shared" si="22"/>
        <v>#REF!</v>
      </c>
      <c r="AJ35" s="631" t="e">
        <f t="shared" si="22"/>
        <v>#REF!</v>
      </c>
      <c r="AK35" s="629" t="e">
        <f t="shared" ref="AK35:AM35" si="23">AB35+AE35+AH35</f>
        <v>#REF!</v>
      </c>
      <c r="AL35" s="630" t="e">
        <f t="shared" si="23"/>
        <v>#REF!</v>
      </c>
      <c r="AM35" s="632" t="e">
        <f t="shared" si="23"/>
        <v>#REF!</v>
      </c>
    </row>
    <row r="36" spans="1:39" ht="15.75" customHeight="1" x14ac:dyDescent="0.3">
      <c r="A36" s="949" t="s">
        <v>641</v>
      </c>
      <c r="B36" s="698"/>
      <c r="C36" s="698"/>
      <c r="D36" s="698"/>
      <c r="E36" s="698"/>
      <c r="F36" s="698"/>
      <c r="G36" s="698"/>
      <c r="H36" s="698"/>
      <c r="I36" s="698"/>
      <c r="J36" s="698"/>
      <c r="K36" s="698"/>
      <c r="L36" s="698"/>
      <c r="M36" s="698"/>
      <c r="N36" s="698"/>
      <c r="O36" s="698"/>
      <c r="P36" s="698"/>
      <c r="Q36" s="698"/>
      <c r="R36" s="698"/>
      <c r="S36" s="698"/>
      <c r="T36" s="698"/>
      <c r="U36" s="698"/>
      <c r="V36" s="698"/>
      <c r="W36" s="945"/>
      <c r="X36" s="946" t="e">
        <f>X35+Y35+Z35</f>
        <v>#REF!</v>
      </c>
      <c r="Y36" s="698"/>
      <c r="Z36" s="699"/>
      <c r="AA36" s="633"/>
      <c r="AB36" s="947" t="s">
        <v>641</v>
      </c>
      <c r="AC36" s="698"/>
      <c r="AD36" s="698"/>
      <c r="AE36" s="698"/>
      <c r="AF36" s="698"/>
      <c r="AG36" s="698"/>
      <c r="AH36" s="698"/>
      <c r="AI36" s="698"/>
      <c r="AJ36" s="945"/>
      <c r="AK36" s="948" t="e">
        <f>AK35+AL35+AM35</f>
        <v>#REF!</v>
      </c>
      <c r="AL36" s="698"/>
      <c r="AM36" s="699"/>
    </row>
    <row r="37" spans="1:39" ht="21" customHeight="1" x14ac:dyDescent="0.25">
      <c r="A37" s="957" t="s">
        <v>642</v>
      </c>
      <c r="B37" s="708"/>
      <c r="C37" s="708"/>
      <c r="D37" s="708"/>
      <c r="E37" s="708"/>
      <c r="F37" s="708"/>
      <c r="G37" s="708"/>
      <c r="H37" s="708"/>
      <c r="I37" s="708"/>
      <c r="J37" s="708"/>
      <c r="K37" s="708"/>
      <c r="L37" s="708"/>
      <c r="M37" s="708"/>
      <c r="N37" s="708"/>
      <c r="O37" s="708"/>
      <c r="P37" s="708"/>
      <c r="Q37" s="708"/>
      <c r="R37" s="708"/>
      <c r="S37" s="708"/>
      <c r="T37" s="708"/>
      <c r="U37" s="708"/>
      <c r="V37" s="708"/>
      <c r="W37" s="708"/>
      <c r="X37" s="708"/>
      <c r="Y37" s="708"/>
      <c r="Z37" s="708"/>
      <c r="AA37" s="708"/>
      <c r="AB37" s="708"/>
      <c r="AC37" s="708"/>
      <c r="AD37" s="708"/>
      <c r="AE37" s="708"/>
      <c r="AF37" s="708"/>
      <c r="AG37" s="708"/>
      <c r="AH37" s="708"/>
      <c r="AI37" s="708"/>
      <c r="AJ37" s="708"/>
      <c r="AK37" s="708"/>
      <c r="AL37" s="708"/>
      <c r="AM37" s="709"/>
    </row>
    <row r="38" spans="1:39" ht="15" customHeight="1" x14ac:dyDescent="0.25">
      <c r="A38" s="12"/>
      <c r="B38" s="12"/>
      <c r="C38" s="958" t="s">
        <v>611</v>
      </c>
      <c r="D38" s="711"/>
      <c r="E38" s="711"/>
      <c r="F38" s="711"/>
      <c r="G38" s="711"/>
      <c r="H38" s="711"/>
      <c r="I38" s="711"/>
      <c r="J38" s="711"/>
      <c r="K38" s="711"/>
      <c r="L38" s="711"/>
      <c r="M38" s="711"/>
      <c r="N38" s="711"/>
      <c r="O38" s="711"/>
      <c r="P38" s="711"/>
      <c r="Q38" s="711"/>
      <c r="R38" s="711"/>
      <c r="S38" s="711"/>
      <c r="T38" s="711"/>
      <c r="U38" s="711"/>
      <c r="V38" s="711"/>
      <c r="W38" s="711"/>
      <c r="X38" s="711"/>
      <c r="Y38" s="711"/>
      <c r="Z38" s="757"/>
      <c r="AA38" s="12"/>
      <c r="AB38" s="942" t="s">
        <v>612</v>
      </c>
      <c r="AC38" s="708"/>
      <c r="AD38" s="708"/>
      <c r="AE38" s="708"/>
      <c r="AF38" s="708"/>
      <c r="AG38" s="708"/>
      <c r="AH38" s="708"/>
      <c r="AI38" s="708"/>
      <c r="AJ38" s="708"/>
      <c r="AK38" s="708"/>
      <c r="AL38" s="708"/>
      <c r="AM38" s="709"/>
    </row>
    <row r="39" spans="1:39" ht="39.75" customHeight="1" x14ac:dyDescent="0.25">
      <c r="A39" s="970" t="s">
        <v>643</v>
      </c>
      <c r="B39" s="971"/>
      <c r="C39" s="944" t="s">
        <v>614</v>
      </c>
      <c r="D39" s="698"/>
      <c r="E39" s="714"/>
      <c r="F39" s="944" t="s">
        <v>644</v>
      </c>
      <c r="G39" s="698"/>
      <c r="H39" s="714"/>
      <c r="I39" s="944" t="s">
        <v>616</v>
      </c>
      <c r="J39" s="698"/>
      <c r="K39" s="714"/>
      <c r="L39" s="944" t="s">
        <v>617</v>
      </c>
      <c r="M39" s="698"/>
      <c r="N39" s="714"/>
      <c r="O39" s="944" t="s">
        <v>618</v>
      </c>
      <c r="P39" s="698"/>
      <c r="Q39" s="714"/>
      <c r="R39" s="944" t="s">
        <v>619</v>
      </c>
      <c r="S39" s="698"/>
      <c r="T39" s="714"/>
      <c r="U39" s="944" t="s">
        <v>620</v>
      </c>
      <c r="V39" s="698"/>
      <c r="W39" s="714"/>
      <c r="X39" s="953" t="s">
        <v>621</v>
      </c>
      <c r="Y39" s="698"/>
      <c r="Z39" s="699"/>
      <c r="AA39" s="589"/>
      <c r="AB39" s="954" t="s">
        <v>622</v>
      </c>
      <c r="AC39" s="698"/>
      <c r="AD39" s="714"/>
      <c r="AE39" s="968" t="s">
        <v>623</v>
      </c>
      <c r="AF39" s="698"/>
      <c r="AG39" s="714"/>
      <c r="AH39" s="968" t="s">
        <v>620</v>
      </c>
      <c r="AI39" s="698"/>
      <c r="AJ39" s="714"/>
      <c r="AK39" s="969" t="s">
        <v>621</v>
      </c>
      <c r="AL39" s="711"/>
      <c r="AM39" s="757"/>
    </row>
    <row r="40" spans="1:39" ht="15" customHeight="1" x14ac:dyDescent="0.25">
      <c r="A40" s="768"/>
      <c r="B40" s="972"/>
      <c r="C40" s="634" t="s">
        <v>625</v>
      </c>
      <c r="D40" s="591" t="s">
        <v>626</v>
      </c>
      <c r="E40" s="635"/>
      <c r="F40" s="634" t="s">
        <v>625</v>
      </c>
      <c r="G40" s="591" t="s">
        <v>626</v>
      </c>
      <c r="H40" s="635"/>
      <c r="I40" s="634" t="s">
        <v>625</v>
      </c>
      <c r="J40" s="591" t="s">
        <v>626</v>
      </c>
      <c r="K40" s="636"/>
      <c r="L40" s="634" t="s">
        <v>625</v>
      </c>
      <c r="M40" s="591" t="s">
        <v>626</v>
      </c>
      <c r="N40" s="635"/>
      <c r="O40" s="634" t="s">
        <v>625</v>
      </c>
      <c r="P40" s="591" t="s">
        <v>626</v>
      </c>
      <c r="Q40" s="635"/>
      <c r="R40" s="634" t="s">
        <v>625</v>
      </c>
      <c r="S40" s="591" t="s">
        <v>626</v>
      </c>
      <c r="T40" s="636"/>
      <c r="U40" s="634" t="s">
        <v>625</v>
      </c>
      <c r="V40" s="591" t="s">
        <v>626</v>
      </c>
      <c r="W40" s="636"/>
      <c r="X40" s="637" t="s">
        <v>625</v>
      </c>
      <c r="Y40" s="595" t="s">
        <v>626</v>
      </c>
      <c r="Z40" s="636"/>
      <c r="AA40" s="597" t="s">
        <v>199</v>
      </c>
      <c r="AB40" s="638" t="s">
        <v>625</v>
      </c>
      <c r="AC40" s="598" t="s">
        <v>626</v>
      </c>
      <c r="AD40" s="635"/>
      <c r="AE40" s="639" t="s">
        <v>625</v>
      </c>
      <c r="AF40" s="598" t="s">
        <v>626</v>
      </c>
      <c r="AG40" s="636"/>
      <c r="AH40" s="639" t="s">
        <v>625</v>
      </c>
      <c r="AI40" s="598" t="s">
        <v>626</v>
      </c>
      <c r="AJ40" s="636"/>
      <c r="AK40" s="637" t="s">
        <v>625</v>
      </c>
      <c r="AL40" s="640" t="s">
        <v>626</v>
      </c>
      <c r="AM40" s="636"/>
    </row>
    <row r="41" spans="1:39" ht="15" customHeight="1" x14ac:dyDescent="0.25">
      <c r="A41" s="966" t="s">
        <v>628</v>
      </c>
      <c r="B41" s="714"/>
      <c r="C41" s="641"/>
      <c r="D41" s="606" t="e">
        <f>COUNTIFS(#REF!,"&gt;=0",#REF!,"&lt;=12",#REF!,"White",#REF!,"Female",#REF!,"YES")</f>
        <v>#REF!</v>
      </c>
      <c r="E41" s="642"/>
      <c r="F41" s="643"/>
      <c r="G41" s="606" t="e">
        <f>COUNTIFS(#REF!,"&gt;=0",#REF!,"&lt;=12",#REF!,"African American /Black",#REF!,"Female",#REF!,"YES")</f>
        <v>#REF!</v>
      </c>
      <c r="H41" s="642"/>
      <c r="I41" s="643"/>
      <c r="J41" s="606" t="e">
        <f>COUNTIFS(#REF!,"&gt;=0",#REF!,"&lt;=12",#REF!,"Native Hawaiian / Other Pacific Islander",#REF!,"Female",#REF!,"YES")</f>
        <v>#REF!</v>
      </c>
      <c r="K41" s="642"/>
      <c r="L41" s="643"/>
      <c r="M41" s="606" t="e">
        <f>COUNTIFS(#REF!,"&gt;=0",#REF!,"&lt;=12",#REF!,"Asian",#REF!,"Female",#REF!,"YES")</f>
        <v>#REF!</v>
      </c>
      <c r="N41" s="642"/>
      <c r="O41" s="643"/>
      <c r="P41" s="606" t="e">
        <f>COUNTIFS(#REF!,"&gt;=0",#REF!,"&lt;=12",#REF!,"American Indian / Alaska Native",#REF!,"Female",#REF!,"YES")</f>
        <v>#REF!</v>
      </c>
      <c r="Q41" s="642"/>
      <c r="R41" s="643"/>
      <c r="S41" s="606" t="e">
        <f>COUNTIFS(#REF!,"&gt;=0",#REF!,"&lt;=12",#REF!,"More than one race reported",#REF!,"Female",#REF!,"YES")</f>
        <v>#REF!</v>
      </c>
      <c r="T41" s="642"/>
      <c r="U41" s="643"/>
      <c r="V41" s="606" t="e">
        <f>COUNTIFS(#REF!,"&gt;=0",#REF!,"&lt;=12",#REF!,"Unknown",#REF!,"Female",#REF!,"YES")</f>
        <v>#REF!</v>
      </c>
      <c r="W41" s="642"/>
      <c r="X41" s="643">
        <f t="shared" ref="X41:Y41" si="24">C41+F41+I41+L41+O41+R41+U41</f>
        <v>0</v>
      </c>
      <c r="Y41" s="611" t="e">
        <f t="shared" si="24"/>
        <v>#REF!</v>
      </c>
      <c r="Z41" s="644"/>
      <c r="AA41" s="613" t="s">
        <v>628</v>
      </c>
      <c r="AB41" s="645"/>
      <c r="AC41" s="615" t="e">
        <f>COUNTIFS(#REF!,"&gt;=0",#REF!,"&lt;=12",#REF!,"Not Hispanic or Latino",#REF!,"Female",#REF!,"YES")</f>
        <v>#REF!</v>
      </c>
      <c r="AD41" s="646"/>
      <c r="AE41" s="647"/>
      <c r="AF41" s="615" t="e">
        <f>COUNTIFS(#REF!,"&gt;=0",#REF!,"&lt;=12",#REF!,"Hispanic-Latino ",#REF!,"Female",#REF!,"YES")</f>
        <v>#REF!</v>
      </c>
      <c r="AG41" s="646"/>
      <c r="AH41" s="647"/>
      <c r="AI41" s="615" t="e">
        <f>COUNTIFS(#REF!,"&gt;=0",#REF!,"&lt;=12",#REF!,"Unknown",#REF!,"Female",#REF!,"YES")</f>
        <v>#REF!</v>
      </c>
      <c r="AJ41" s="646"/>
      <c r="AK41" s="643"/>
      <c r="AL41" s="648" t="e">
        <f t="shared" ref="AL41:AL51" si="25">AC41+AF41+AI41</f>
        <v>#REF!</v>
      </c>
      <c r="AM41" s="644"/>
    </row>
    <row r="42" spans="1:39" ht="15" customHeight="1" x14ac:dyDescent="0.25">
      <c r="A42" s="966" t="s">
        <v>629</v>
      </c>
      <c r="B42" s="714"/>
      <c r="C42" s="641"/>
      <c r="D42" s="606" t="e">
        <f>COUNTIFS(#REF!,"&gt;=13",#REF!,"&lt;=17",#REF!,"White",#REF!,"Female",#REF!,"YES")</f>
        <v>#REF!</v>
      </c>
      <c r="E42" s="642"/>
      <c r="F42" s="643"/>
      <c r="G42" s="606" t="e">
        <f>COUNTIFS(#REF!,"&gt;=13",#REF!,"&lt;=17",#REF!,"African American /Black",#REF!,"Female",#REF!,"YES")</f>
        <v>#REF!</v>
      </c>
      <c r="H42" s="642"/>
      <c r="I42" s="643"/>
      <c r="J42" s="606" t="e">
        <f>COUNTIFS(#REF!,"&gt;=13",#REF!,"&lt;=17",#REF!,"Native Hawaiian / Other Pacific Islander",#REF!,"Female",#REF!,"YES")</f>
        <v>#REF!</v>
      </c>
      <c r="K42" s="642"/>
      <c r="L42" s="643"/>
      <c r="M42" s="606" t="e">
        <f>COUNTIFS(#REF!,"&gt;=13",#REF!,"&lt;=17",#REF!,"Asian",#REF!,"Female",#REF!,"YES")</f>
        <v>#REF!</v>
      </c>
      <c r="N42" s="642"/>
      <c r="O42" s="643"/>
      <c r="P42" s="606" t="e">
        <f>COUNTIFS(#REF!,"&gt;=13",#REF!,"&lt;=17",#REF!,"American Indian / Alaska Native",#REF!,"Female",#REF!,"YES")</f>
        <v>#REF!</v>
      </c>
      <c r="Q42" s="642"/>
      <c r="R42" s="643"/>
      <c r="S42" s="606" t="e">
        <f>COUNTIFS(#REF!,"&gt;=13",#REF!,"&lt;=17",#REF!,"More than one race reported",#REF!,"Female",#REF!,"YES")</f>
        <v>#REF!</v>
      </c>
      <c r="T42" s="642"/>
      <c r="U42" s="643"/>
      <c r="V42" s="606" t="e">
        <f>COUNTIFS(#REF!,"&gt;=13",#REF!,"&lt;=17",#REF!,"Unknown",#REF!,"Female",#REF!,"YES")</f>
        <v>#REF!</v>
      </c>
      <c r="W42" s="642"/>
      <c r="X42" s="643">
        <f t="shared" ref="X42:Y42" si="26">C42+F42+I42+L42+O42+R42+U42</f>
        <v>0</v>
      </c>
      <c r="Y42" s="611" t="e">
        <f t="shared" si="26"/>
        <v>#REF!</v>
      </c>
      <c r="Z42" s="644"/>
      <c r="AA42" s="613" t="s">
        <v>629</v>
      </c>
      <c r="AB42" s="645"/>
      <c r="AC42" s="615" t="e">
        <f>COUNTIFS(#REF!,"&gt;=13",#REF!,"&lt;=17",#REF!,"Not Hispanic or Latino",#REF!,"Female",#REF!,"YES")</f>
        <v>#REF!</v>
      </c>
      <c r="AD42" s="646"/>
      <c r="AE42" s="647"/>
      <c r="AF42" s="615" t="e">
        <f>COUNTIFS(#REF!,"&gt;=13",#REF!,"&lt;=17",#REF!,"Hispanic-Latino ",#REF!,"Female",#REF!,"YES")</f>
        <v>#REF!</v>
      </c>
      <c r="AG42" s="646"/>
      <c r="AH42" s="647"/>
      <c r="AI42" s="615" t="e">
        <f>COUNTIFS(#REF!,"&gt;=13",#REF!,"&lt;=17",#REF!,"Unknown",#REF!,"Female",#REF!,"YES")</f>
        <v>#REF!</v>
      </c>
      <c r="AJ42" s="646"/>
      <c r="AK42" s="643"/>
      <c r="AL42" s="648" t="e">
        <f t="shared" si="25"/>
        <v>#REF!</v>
      </c>
      <c r="AM42" s="644"/>
    </row>
    <row r="43" spans="1:39" ht="15" customHeight="1" x14ac:dyDescent="0.25">
      <c r="A43" s="966" t="s">
        <v>630</v>
      </c>
      <c r="B43" s="714"/>
      <c r="C43" s="641"/>
      <c r="D43" s="606" t="e">
        <f>COUNTIFS(#REF!,"&gt;=18",#REF!,"&lt;=20",#REF!,"White",#REF!,"Female",#REF!,"YES")</f>
        <v>#REF!</v>
      </c>
      <c r="E43" s="642"/>
      <c r="F43" s="643"/>
      <c r="G43" s="606" t="e">
        <f>COUNTIFS(#REF!,"&gt;=18",#REF!,"&lt;=20",#REF!,"African American /Black",#REF!,"Female",#REF!,"YES")</f>
        <v>#REF!</v>
      </c>
      <c r="H43" s="642"/>
      <c r="I43" s="643"/>
      <c r="J43" s="606" t="e">
        <f>COUNTIFS(#REF!,"&gt;=18",#REF!,"&lt;=20",#REF!,"Native Hawaiian / Other Pacific Islander",#REF!,"Female",#REF!,"YES")</f>
        <v>#REF!</v>
      </c>
      <c r="K43" s="642"/>
      <c r="L43" s="643"/>
      <c r="M43" s="606" t="e">
        <f>COUNTIFS(#REF!,"&gt;=18",#REF!,"&lt;=20",#REF!,"Asian",#REF!,"Female",#REF!,"YES")</f>
        <v>#REF!</v>
      </c>
      <c r="N43" s="642"/>
      <c r="O43" s="643"/>
      <c r="P43" s="606" t="e">
        <f>COUNTIFS(#REF!,"&gt;=18",#REF!,"&lt;=20",#REF!,"American Indian / Alaska Native",#REF!,"Female",#REF!,"YES")</f>
        <v>#REF!</v>
      </c>
      <c r="Q43" s="642"/>
      <c r="R43" s="643"/>
      <c r="S43" s="606" t="e">
        <f>COUNTIFS(#REF!,"&gt;=18",#REF!,"&lt;=20",#REF!,"More than one race reported",#REF!,"Female",#REF!,"YES")</f>
        <v>#REF!</v>
      </c>
      <c r="T43" s="642"/>
      <c r="U43" s="643"/>
      <c r="V43" s="606" t="e">
        <f>COUNTIFS(#REF!,"&gt;=18",#REF!,"&lt;=20",#REF!,"Unknown",#REF!,"Female",#REF!,"YES")</f>
        <v>#REF!</v>
      </c>
      <c r="W43" s="642"/>
      <c r="X43" s="643">
        <f t="shared" ref="X43:Y43" si="27">C43+F43+I43+L43+O43+R43+U43</f>
        <v>0</v>
      </c>
      <c r="Y43" s="611" t="e">
        <f t="shared" si="27"/>
        <v>#REF!</v>
      </c>
      <c r="Z43" s="644"/>
      <c r="AA43" s="613" t="s">
        <v>630</v>
      </c>
      <c r="AB43" s="645"/>
      <c r="AC43" s="615" t="e">
        <f>COUNTIFS(#REF!,"&gt;=18",#REF!,"&lt;=20",#REF!,"Not Hispanic or Latino",#REF!,"Female",#REF!,"YES")</f>
        <v>#REF!</v>
      </c>
      <c r="AD43" s="646"/>
      <c r="AE43" s="647"/>
      <c r="AF43" s="615" t="e">
        <f>COUNTIFS(#REF!,"&gt;=18",#REF!,"&lt;=20",#REF!,"Hispanic-Latino ",#REF!,"Female",#REF!,"YES")</f>
        <v>#REF!</v>
      </c>
      <c r="AG43" s="646"/>
      <c r="AH43" s="647"/>
      <c r="AI43" s="615" t="e">
        <f>COUNTIFS(#REF!,"&gt;=18",#REF!,"&lt;=20",#REF!,"Unknown",#REF!,"Female",#REF!,"YES")</f>
        <v>#REF!</v>
      </c>
      <c r="AJ43" s="646"/>
      <c r="AK43" s="643"/>
      <c r="AL43" s="648" t="e">
        <f t="shared" si="25"/>
        <v>#REF!</v>
      </c>
      <c r="AM43" s="644"/>
    </row>
    <row r="44" spans="1:39" ht="15" customHeight="1" x14ac:dyDescent="0.25">
      <c r="A44" s="966" t="s">
        <v>631</v>
      </c>
      <c r="B44" s="714"/>
      <c r="C44" s="641"/>
      <c r="D44" s="606" t="e">
        <f>COUNTIFS(#REF!,"&gt;=21",#REF!,"&lt;=24",#REF!,"White",#REF!,"Female",#REF!,"YES")</f>
        <v>#REF!</v>
      </c>
      <c r="E44" s="642"/>
      <c r="F44" s="643"/>
      <c r="G44" s="606" t="e">
        <f>COUNTIFS(#REF!,"&gt;=21",#REF!,"&lt;=24",#REF!,"African American /Black",#REF!,"Female",#REF!,"YES")</f>
        <v>#REF!</v>
      </c>
      <c r="H44" s="642"/>
      <c r="I44" s="643"/>
      <c r="J44" s="606" t="e">
        <f>COUNTIFS(#REF!,"&gt;=21",#REF!,"&lt;=24",#REF!,"Native Hawaiian / Other Pacific Islander",#REF!,"Female",#REF!,"YES")</f>
        <v>#REF!</v>
      </c>
      <c r="K44" s="642"/>
      <c r="L44" s="643"/>
      <c r="M44" s="606" t="e">
        <f>COUNTIFS(#REF!,"&gt;=21",#REF!,"&lt;=24",#REF!,"Asian",#REF!,"Female",#REF!,"YES")</f>
        <v>#REF!</v>
      </c>
      <c r="N44" s="642"/>
      <c r="O44" s="643"/>
      <c r="P44" s="606" t="e">
        <f>COUNTIFS(#REF!,"&gt;=21",#REF!,"&lt;=24",#REF!,"American Indian / Alaska Native",#REF!,"Female",#REF!,"YES")</f>
        <v>#REF!</v>
      </c>
      <c r="Q44" s="642"/>
      <c r="R44" s="643"/>
      <c r="S44" s="606" t="e">
        <f>COUNTIFS(#REF!,"&gt;=21",#REF!,"&lt;=24",#REF!,"More than one race reported",#REF!,"Female",#REF!,"YES")</f>
        <v>#REF!</v>
      </c>
      <c r="T44" s="642"/>
      <c r="U44" s="643"/>
      <c r="V44" s="606" t="e">
        <f>COUNTIFS(#REF!,"&gt;=21",#REF!,"&lt;=24",#REF!,"Unknown",#REF!,"Female",#REF!,"YES")</f>
        <v>#REF!</v>
      </c>
      <c r="W44" s="642"/>
      <c r="X44" s="643">
        <f t="shared" ref="X44:Y44" si="28">C44+F44+I44+L44+O44+R44+U44</f>
        <v>0</v>
      </c>
      <c r="Y44" s="611" t="e">
        <f t="shared" si="28"/>
        <v>#REF!</v>
      </c>
      <c r="Z44" s="644"/>
      <c r="AA44" s="613" t="s">
        <v>631</v>
      </c>
      <c r="AB44" s="645"/>
      <c r="AC44" s="615" t="e">
        <f>COUNTIFS(#REF!,"&gt;=21",#REF!,"&lt;=24",#REF!,"Not Hispanic or Latino",#REF!,"Female",#REF!,"YES")</f>
        <v>#REF!</v>
      </c>
      <c r="AD44" s="646"/>
      <c r="AE44" s="647"/>
      <c r="AF44" s="615" t="e">
        <f>COUNTIFS(#REF!,"&gt;=21",#REF!,"&lt;=24",#REF!,"Hispanic-Latino ",#REF!,"Female",#REF!,"YES")</f>
        <v>#REF!</v>
      </c>
      <c r="AG44" s="646"/>
      <c r="AH44" s="647"/>
      <c r="AI44" s="615" t="e">
        <f>COUNTIFS(#REF!,"&gt;=21",#REF!,"&lt;=24",#REF!,"Unknown",#REF!,"Female",#REF!,"YES")</f>
        <v>#REF!</v>
      </c>
      <c r="AJ44" s="646"/>
      <c r="AK44" s="643"/>
      <c r="AL44" s="648" t="e">
        <f t="shared" si="25"/>
        <v>#REF!</v>
      </c>
      <c r="AM44" s="644"/>
    </row>
    <row r="45" spans="1:39" ht="15" customHeight="1" x14ac:dyDescent="0.25">
      <c r="A45" s="966" t="s">
        <v>632</v>
      </c>
      <c r="B45" s="714"/>
      <c r="C45" s="641"/>
      <c r="D45" s="606" t="e">
        <f>COUNTIFS(#REF!,"&gt;=25",#REF!,"&lt;=34",#REF!,"White",#REF!,"Female",#REF!,"YES")</f>
        <v>#REF!</v>
      </c>
      <c r="E45" s="642"/>
      <c r="F45" s="643"/>
      <c r="G45" s="606" t="e">
        <f>COUNTIFS(#REF!,"&gt;=25",#REF!,"&lt;=34",#REF!,"African American /Black",#REF!,"Female",#REF!,"YES")</f>
        <v>#REF!</v>
      </c>
      <c r="H45" s="642"/>
      <c r="I45" s="643"/>
      <c r="J45" s="606" t="e">
        <f>COUNTIFS(#REF!,"&gt;=25",#REF!,"&lt;=34",#REF!,"Native Hawaiian / Other Pacific Islander",#REF!,"Female",#REF!,"YES")</f>
        <v>#REF!</v>
      </c>
      <c r="K45" s="642"/>
      <c r="L45" s="643"/>
      <c r="M45" s="606" t="e">
        <f>COUNTIFS(#REF!,"&gt;=25",#REF!,"&lt;=34",#REF!,"Asian",#REF!,"Female",#REF!,"YES")</f>
        <v>#REF!</v>
      </c>
      <c r="N45" s="642"/>
      <c r="O45" s="643"/>
      <c r="P45" s="606" t="e">
        <f>COUNTIFS(#REF!,"&gt;=25",#REF!,"&lt;=34",#REF!,"American Indian / Alaska Native",#REF!,"Female",#REF!,"YES")</f>
        <v>#REF!</v>
      </c>
      <c r="Q45" s="642"/>
      <c r="R45" s="643"/>
      <c r="S45" s="606" t="e">
        <f>COUNTIFS(#REF!,"&gt;=25",#REF!,"&lt;=34",#REF!,"More than one race reported",#REF!,"Female",#REF!,"YES")</f>
        <v>#REF!</v>
      </c>
      <c r="T45" s="642"/>
      <c r="U45" s="643"/>
      <c r="V45" s="606" t="e">
        <f>COUNTIFS(#REF!,"&gt;=25",#REF!,"&lt;=34",#REF!,"Unknown",#REF!,"Female",#REF!,"YES")</f>
        <v>#REF!</v>
      </c>
      <c r="W45" s="642"/>
      <c r="X45" s="643">
        <f t="shared" ref="X45:Y45" si="29">C45+F45+I45+L45+O45+R45+U45</f>
        <v>0</v>
      </c>
      <c r="Y45" s="611" t="e">
        <f t="shared" si="29"/>
        <v>#REF!</v>
      </c>
      <c r="Z45" s="644"/>
      <c r="AA45" s="613" t="s">
        <v>632</v>
      </c>
      <c r="AB45" s="645"/>
      <c r="AC45" s="615" t="e">
        <f>COUNTIFS(#REF!,"&gt;=25",#REF!,"&lt;=34",#REF!,"Not Hispanic or Latino",#REF!,"Female",#REF!,"YES")</f>
        <v>#REF!</v>
      </c>
      <c r="AD45" s="646"/>
      <c r="AE45" s="647"/>
      <c r="AF45" s="615" t="e">
        <f>COUNTIFS(#REF!,"&gt;=25",#REF!,"&lt;=34",#REF!,"Hispanic-Latino ",#REF!,"Female",#REF!,"YES")</f>
        <v>#REF!</v>
      </c>
      <c r="AG45" s="646"/>
      <c r="AH45" s="647"/>
      <c r="AI45" s="615" t="e">
        <f>COUNTIFS(#REF!,"&gt;=25",#REF!,"&lt;=34",#REF!,"Unknown",#REF!,"Female",#REF!,"YES")</f>
        <v>#REF!</v>
      </c>
      <c r="AJ45" s="646"/>
      <c r="AK45" s="643"/>
      <c r="AL45" s="648" t="e">
        <f t="shared" si="25"/>
        <v>#REF!</v>
      </c>
      <c r="AM45" s="644"/>
    </row>
    <row r="46" spans="1:39" ht="15" customHeight="1" x14ac:dyDescent="0.25">
      <c r="A46" s="966" t="s">
        <v>633</v>
      </c>
      <c r="B46" s="714"/>
      <c r="C46" s="641"/>
      <c r="D46" s="606" t="e">
        <f>COUNTIFS(#REF!,"&gt;=35",#REF!,"&lt;=44",#REF!,"White",#REF!,"Female",#REF!,"YES")</f>
        <v>#REF!</v>
      </c>
      <c r="E46" s="642"/>
      <c r="F46" s="643"/>
      <c r="G46" s="606" t="e">
        <f>COUNTIFS(#REF!,"&gt;=35",#REF!,"&lt;=44",#REF!,"African American /Black",#REF!,"Female",#REF!,"YES")</f>
        <v>#REF!</v>
      </c>
      <c r="H46" s="642"/>
      <c r="I46" s="643"/>
      <c r="J46" s="606" t="e">
        <f>COUNTIFS(#REF!,"&gt;=35",#REF!,"&lt;=44",#REF!,"Native Hawaiian / Other Pacific Islander",#REF!,"Female",#REF!,"YES")</f>
        <v>#REF!</v>
      </c>
      <c r="K46" s="642"/>
      <c r="L46" s="643"/>
      <c r="M46" s="606" t="e">
        <f>COUNTIFS(#REF!,"&gt;=35",#REF!,"&lt;=44",#REF!,"Asian",#REF!,"Female",#REF!,"YES")</f>
        <v>#REF!</v>
      </c>
      <c r="N46" s="642"/>
      <c r="O46" s="643"/>
      <c r="P46" s="606" t="e">
        <f>COUNTIFS(#REF!,"&gt;=35",#REF!,"&lt;=44",#REF!,"American Indian / Alaska Native",#REF!,"Female",#REF!,"YES")</f>
        <v>#REF!</v>
      </c>
      <c r="Q46" s="642"/>
      <c r="R46" s="643"/>
      <c r="S46" s="606" t="e">
        <f>COUNTIFS(#REF!,"&gt;=35",#REF!,"&lt;=44",#REF!,"More than one race reported",#REF!,"Female",#REF!,"YES")</f>
        <v>#REF!</v>
      </c>
      <c r="T46" s="642"/>
      <c r="U46" s="643"/>
      <c r="V46" s="606" t="e">
        <f>COUNTIFS(#REF!,"&gt;=35",#REF!,"&lt;=44",#REF!,"Unknown",#REF!,"Female",#REF!,"YES")</f>
        <v>#REF!</v>
      </c>
      <c r="W46" s="642"/>
      <c r="X46" s="643">
        <f t="shared" ref="X46:Y46" si="30">C46+F46+I46+L46+O46+R46+U46</f>
        <v>0</v>
      </c>
      <c r="Y46" s="611" t="e">
        <f t="shared" si="30"/>
        <v>#REF!</v>
      </c>
      <c r="Z46" s="644"/>
      <c r="AA46" s="613" t="s">
        <v>633</v>
      </c>
      <c r="AB46" s="645"/>
      <c r="AC46" s="615" t="e">
        <f>COUNTIFS(#REF!,"&gt;=35",#REF!,"&lt;=44",#REF!,"Not Hispanic or Latino",#REF!,"Female",#REF!,"YES")</f>
        <v>#REF!</v>
      </c>
      <c r="AD46" s="646"/>
      <c r="AE46" s="647"/>
      <c r="AF46" s="615" t="e">
        <f>COUNTIFS(#REF!,"&gt;=35",#REF!,"&lt;=44",#REF!,"Hispanic-Latino ",#REF!,"Female",#REF!,"YES")</f>
        <v>#REF!</v>
      </c>
      <c r="AG46" s="646"/>
      <c r="AH46" s="647"/>
      <c r="AI46" s="615" t="e">
        <f>COUNTIFS(#REF!,"&gt;=35",#REF!,"&lt;=44",#REF!,"Unknown",#REF!,"Female",#REF!,"YES")</f>
        <v>#REF!</v>
      </c>
      <c r="AJ46" s="646"/>
      <c r="AK46" s="643"/>
      <c r="AL46" s="648" t="e">
        <f t="shared" si="25"/>
        <v>#REF!</v>
      </c>
      <c r="AM46" s="644"/>
    </row>
    <row r="47" spans="1:39" ht="15" customHeight="1" x14ac:dyDescent="0.25">
      <c r="A47" s="966" t="s">
        <v>634</v>
      </c>
      <c r="B47" s="714"/>
      <c r="C47" s="641"/>
      <c r="D47" s="606" t="e">
        <f>COUNTIFS(#REF!,"&gt;=45",#REF!,"&lt;=54",#REF!,"White",#REF!,"Female",#REF!,"YES")</f>
        <v>#REF!</v>
      </c>
      <c r="E47" s="642"/>
      <c r="F47" s="643"/>
      <c r="G47" s="606" t="e">
        <f>COUNTIFS(#REF!,"&gt;=45",#REF!,"&lt;=54",#REF!,"African American /Black",#REF!,"Female",#REF!,"YES")</f>
        <v>#REF!</v>
      </c>
      <c r="H47" s="642"/>
      <c r="I47" s="643"/>
      <c r="J47" s="606" t="e">
        <f>COUNTIFS(#REF!,"&gt;=45",#REF!,"&lt;=54",#REF!,"Native Hawaiian / Other Pacific Islander",#REF!,"Female",#REF!,"YES")</f>
        <v>#REF!</v>
      </c>
      <c r="K47" s="642"/>
      <c r="L47" s="643"/>
      <c r="M47" s="606" t="e">
        <f>COUNTIFS(#REF!,"&gt;=45",#REF!,"&lt;=54",#REF!,"Asian",#REF!,"Female",#REF!,"YES")</f>
        <v>#REF!</v>
      </c>
      <c r="N47" s="642"/>
      <c r="O47" s="643"/>
      <c r="P47" s="606" t="e">
        <f>COUNTIFS(#REF!,"&gt;=45",#REF!,"&lt;=54",#REF!,"American Indian / Alaska Native",#REF!,"Female",#REF!,"YES")</f>
        <v>#REF!</v>
      </c>
      <c r="Q47" s="642"/>
      <c r="R47" s="643"/>
      <c r="S47" s="606" t="e">
        <f>COUNTIFS(#REF!,"&gt;=45",#REF!,"&lt;=54",#REF!,"More than one race reported",#REF!,"Female",#REF!,"YES")</f>
        <v>#REF!</v>
      </c>
      <c r="T47" s="642"/>
      <c r="U47" s="643"/>
      <c r="V47" s="606" t="e">
        <f>COUNTIFS(#REF!,"&gt;=45",#REF!,"&lt;=54",#REF!,"Unknown",#REF!,"Female",#REF!,"YES")</f>
        <v>#REF!</v>
      </c>
      <c r="W47" s="642"/>
      <c r="X47" s="643">
        <f t="shared" ref="X47:Y47" si="31">C47+F47+I47+L47+O47+R47+U47</f>
        <v>0</v>
      </c>
      <c r="Y47" s="611" t="e">
        <f t="shared" si="31"/>
        <v>#REF!</v>
      </c>
      <c r="Z47" s="644"/>
      <c r="AA47" s="613" t="s">
        <v>634</v>
      </c>
      <c r="AB47" s="645"/>
      <c r="AC47" s="615" t="e">
        <f>COUNTIFS(#REF!,"&gt;=45",#REF!,"&lt;=54",#REF!,"Not Hispanic or Latino",#REF!,"Female",#REF!,"YES")</f>
        <v>#REF!</v>
      </c>
      <c r="AD47" s="646"/>
      <c r="AE47" s="647"/>
      <c r="AF47" s="615" t="e">
        <f>COUNTIFS(#REF!,"&gt;=45",#REF!,"&lt;=54",#REF!,"Hispanic-Latino ",#REF!,"Female",#REF!,"YES")</f>
        <v>#REF!</v>
      </c>
      <c r="AG47" s="646"/>
      <c r="AH47" s="647"/>
      <c r="AI47" s="615" t="e">
        <f>COUNTIFS(#REF!,"&gt;=45",#REF!,"&lt;=54",#REF!,"Unknown",#REF!,"Female",#REF!,"YES")</f>
        <v>#REF!</v>
      </c>
      <c r="AJ47" s="646"/>
      <c r="AK47" s="643"/>
      <c r="AL47" s="648" t="e">
        <f t="shared" si="25"/>
        <v>#REF!</v>
      </c>
      <c r="AM47" s="644"/>
    </row>
    <row r="48" spans="1:39" ht="15" customHeight="1" x14ac:dyDescent="0.25">
      <c r="A48" s="966" t="s">
        <v>635</v>
      </c>
      <c r="B48" s="714"/>
      <c r="C48" s="641"/>
      <c r="D48" s="606" t="e">
        <f>COUNTIFS(#REF!,"&gt;=55",#REF!,"&lt;=64",#REF!,"White",#REF!,"Female",#REF!,"YES")</f>
        <v>#REF!</v>
      </c>
      <c r="E48" s="642"/>
      <c r="F48" s="643"/>
      <c r="G48" s="606" t="e">
        <f>COUNTIFS(#REF!,"&gt;=55",#REF!,"&lt;=64",#REF!,"African American /Black",#REF!,"Female",#REF!,"YES")</f>
        <v>#REF!</v>
      </c>
      <c r="H48" s="642"/>
      <c r="I48" s="643"/>
      <c r="J48" s="606" t="e">
        <f>COUNTIFS(#REF!,"&gt;=55",#REF!,"&lt;=64",#REF!,"Native Hawaiian / Other Pacific Islander",#REF!,"Female",#REF!,"YES")</f>
        <v>#REF!</v>
      </c>
      <c r="K48" s="642"/>
      <c r="L48" s="643"/>
      <c r="M48" s="606" t="e">
        <f>COUNTIFS(#REF!,"&gt;=55",#REF!,"&lt;=64",#REF!,"Asian",#REF!,"Female",#REF!,"YES")</f>
        <v>#REF!</v>
      </c>
      <c r="N48" s="642"/>
      <c r="O48" s="643"/>
      <c r="P48" s="606" t="e">
        <f>COUNTIFS(#REF!,"&gt;=55",#REF!,"&lt;=64",#REF!,"American Indian / Alaska Native",#REF!,"Female",#REF!,"YES")</f>
        <v>#REF!</v>
      </c>
      <c r="Q48" s="642"/>
      <c r="R48" s="643"/>
      <c r="S48" s="606" t="e">
        <f>COUNTIFS(#REF!,"&gt;=55",#REF!,"&lt;=64",#REF!,"More than one race reported",#REF!,"Female",#REF!,"YES")</f>
        <v>#REF!</v>
      </c>
      <c r="T48" s="642"/>
      <c r="U48" s="643"/>
      <c r="V48" s="606" t="e">
        <f>COUNTIFS(#REF!,"&gt;=55",#REF!,"&lt;=64",#REF!,"Unknown",#REF!,"Female",#REF!,"YES")</f>
        <v>#REF!</v>
      </c>
      <c r="W48" s="642"/>
      <c r="X48" s="643">
        <f t="shared" ref="X48:Y48" si="32">C48+F48+I48+L48+O48+R48+U48</f>
        <v>0</v>
      </c>
      <c r="Y48" s="611" t="e">
        <f t="shared" si="32"/>
        <v>#REF!</v>
      </c>
      <c r="Z48" s="644"/>
      <c r="AA48" s="613" t="s">
        <v>635</v>
      </c>
      <c r="AB48" s="645"/>
      <c r="AC48" s="615" t="e">
        <f>COUNTIFS(#REF!,"&gt;=55",#REF!,"&lt;=64",#REF!,"Not Hispanic or Latino",#REF!,"Female",#REF!,"YES")</f>
        <v>#REF!</v>
      </c>
      <c r="AD48" s="646"/>
      <c r="AE48" s="647"/>
      <c r="AF48" s="615" t="e">
        <f>COUNTIFS(#REF!,"&gt;=55",#REF!,"&lt;=64",#REF!,"Hispanic-Latino ",#REF!,"Female",#REF!,"YES")</f>
        <v>#REF!</v>
      </c>
      <c r="AG48" s="646"/>
      <c r="AH48" s="647"/>
      <c r="AI48" s="615" t="e">
        <f>COUNTIFS(#REF!,"&gt;=55",#REF!,"&lt;=64",#REF!,"Unknown",#REF!,"Female",#REF!,"YES")</f>
        <v>#REF!</v>
      </c>
      <c r="AJ48" s="646"/>
      <c r="AK48" s="643"/>
      <c r="AL48" s="648" t="e">
        <f t="shared" si="25"/>
        <v>#REF!</v>
      </c>
      <c r="AM48" s="644"/>
    </row>
    <row r="49" spans="1:39" ht="18.75" customHeight="1" x14ac:dyDescent="0.25">
      <c r="A49" s="966" t="s">
        <v>636</v>
      </c>
      <c r="B49" s="714"/>
      <c r="C49" s="641"/>
      <c r="D49" s="606" t="e">
        <f>COUNTIFS(#REF!,"&gt;=65",#REF!,"&lt;=74",#REF!,"White",#REF!,"Female",#REF!,"YES")</f>
        <v>#REF!</v>
      </c>
      <c r="E49" s="642"/>
      <c r="F49" s="643"/>
      <c r="G49" s="606" t="e">
        <f>COUNTIFS(#REF!,"&gt;=65",#REF!,"&lt;=74",#REF!,"African American /Black",#REF!,"Female",#REF!,"YES")</f>
        <v>#REF!</v>
      </c>
      <c r="H49" s="642"/>
      <c r="I49" s="643"/>
      <c r="J49" s="606" t="e">
        <f>COUNTIFS(#REF!,"&gt;=65",#REF!,"&lt;=74",#REF!,"Native Hawaiian / Other Pacific Islander",#REF!,"Female",#REF!,"YES")</f>
        <v>#REF!</v>
      </c>
      <c r="K49" s="642"/>
      <c r="L49" s="643"/>
      <c r="M49" s="606" t="e">
        <f>COUNTIFS(#REF!,"&gt;=65",#REF!,"&lt;=74",#REF!,"Asian",#REF!,"Female",#REF!,"YES")</f>
        <v>#REF!</v>
      </c>
      <c r="N49" s="642"/>
      <c r="O49" s="643"/>
      <c r="P49" s="606" t="e">
        <f>COUNTIFS(#REF!,"&gt;=65",#REF!,"&lt;=74",#REF!,"American Indian / Alaska Native",#REF!,"Female",#REF!,"YES")</f>
        <v>#REF!</v>
      </c>
      <c r="Q49" s="642"/>
      <c r="R49" s="643"/>
      <c r="S49" s="606" t="e">
        <f>COUNTIFS(#REF!,"&gt;=65",#REF!,"&lt;=74",#REF!,"More than one race reported",#REF!,"Female",#REF!,"YES")</f>
        <v>#REF!</v>
      </c>
      <c r="T49" s="642"/>
      <c r="U49" s="643"/>
      <c r="V49" s="606" t="e">
        <f>COUNTIFS(#REF!,"&gt;=65",#REF!,"&lt;=74",#REF!,"Unknown",#REF!,"Female",#REF!,"YES")</f>
        <v>#REF!</v>
      </c>
      <c r="W49" s="642"/>
      <c r="X49" s="643">
        <f t="shared" ref="X49:Y49" si="33">C49+F49+I49+L49+O49+R49+U49</f>
        <v>0</v>
      </c>
      <c r="Y49" s="611" t="e">
        <f t="shared" si="33"/>
        <v>#REF!</v>
      </c>
      <c r="Z49" s="644"/>
      <c r="AA49" s="613" t="s">
        <v>636</v>
      </c>
      <c r="AB49" s="645"/>
      <c r="AC49" s="615" t="e">
        <f>COUNTIFS(#REF!,"&gt;=65",#REF!,"&lt;=74",#REF!,"Not Hispanic or Latino",#REF!,"Female",#REF!,"YES")</f>
        <v>#REF!</v>
      </c>
      <c r="AD49" s="646"/>
      <c r="AE49" s="647"/>
      <c r="AF49" s="615" t="e">
        <f>COUNTIFS(#REF!,"&gt;=65",#REF!,"&lt;=74",#REF!,"Hispanic-Latino ",#REF!,"Female",#REF!,"YES")</f>
        <v>#REF!</v>
      </c>
      <c r="AG49" s="646"/>
      <c r="AH49" s="647"/>
      <c r="AI49" s="615" t="e">
        <f>COUNTIFS(#REF!,"&gt;=65",#REF!,"&lt;=74",#REF!,"Unknown",#REF!,"Female",#REF!,"YES")</f>
        <v>#REF!</v>
      </c>
      <c r="AJ49" s="646"/>
      <c r="AK49" s="643"/>
      <c r="AL49" s="648" t="e">
        <f t="shared" si="25"/>
        <v>#REF!</v>
      </c>
      <c r="AM49" s="644"/>
    </row>
    <row r="50" spans="1:39" ht="15.75" customHeight="1" x14ac:dyDescent="0.25">
      <c r="A50" s="966" t="s">
        <v>637</v>
      </c>
      <c r="B50" s="714"/>
      <c r="C50" s="643"/>
      <c r="D50" s="606" t="e">
        <f>COUNTIFS(#REF!,"&gt;=75",#REF!,"&lt;=150",#REF!,"White",#REF!,"Female",#REF!,"YES")</f>
        <v>#REF!</v>
      </c>
      <c r="E50" s="642"/>
      <c r="F50" s="643"/>
      <c r="G50" s="606" t="e">
        <f>COUNTIFS(#REF!,"&lt;=&gt;5",#REF!,"&lt;=150",#REF!,"African American /Black",#REF!,"Female",#REF!,"YES")</f>
        <v>#REF!</v>
      </c>
      <c r="H50" s="642"/>
      <c r="I50" s="643"/>
      <c r="J50" s="606" t="e">
        <f>COUNTIFS(#REF!,"&gt;=75",#REF!,"&lt;=150",#REF!,"Native Hawaiian / Other Pacific Islander",#REF!,"Female",#REF!,"YES")</f>
        <v>#REF!</v>
      </c>
      <c r="K50" s="642"/>
      <c r="L50" s="643"/>
      <c r="M50" s="606" t="e">
        <f>COUNTIFS(#REF!,"&gt;=75",#REF!,"&lt;=150",#REF!,"Asian",#REF!,"Female",#REF!,"YES")</f>
        <v>#REF!</v>
      </c>
      <c r="N50" s="642"/>
      <c r="O50" s="643"/>
      <c r="P50" s="606" t="e">
        <f>COUNTIFS(#REF!,"&gt;=75",#REF!,"&lt;=150",#REF!,"American Indian / Alaska Native",#REF!,"Female",#REF!,"YES")</f>
        <v>#REF!</v>
      </c>
      <c r="Q50" s="642"/>
      <c r="R50" s="643"/>
      <c r="S50" s="606" t="e">
        <f>COUNTIFS(#REF!,"&gt;=75",#REF!,"&lt;=150",#REF!,"More than one race reported",#REF!,"Female",#REF!,"YES")</f>
        <v>#REF!</v>
      </c>
      <c r="T50" s="642"/>
      <c r="U50" s="643"/>
      <c r="V50" s="606" t="e">
        <f>COUNTIFS(#REF!,"&gt;=75",#REF!,"&lt;=150",#REF!,"Unknown",#REF!,"Female",#REF!,"YES")</f>
        <v>#REF!</v>
      </c>
      <c r="W50" s="642"/>
      <c r="X50" s="643">
        <f t="shared" ref="X50:Y50" si="34">C50+F50+I50+L50+O50+R50+U50</f>
        <v>0</v>
      </c>
      <c r="Y50" s="611" t="e">
        <f t="shared" si="34"/>
        <v>#REF!</v>
      </c>
      <c r="Z50" s="644"/>
      <c r="AA50" s="613" t="s">
        <v>638</v>
      </c>
      <c r="AB50" s="645"/>
      <c r="AC50" s="615" t="e">
        <f>COUNTIFS(#REF!,"&gt;=75",#REF!,"&lt;=150",#REF!,"Not Hispanic or Latino",#REF!,"Female",#REF!,"YES")</f>
        <v>#REF!</v>
      </c>
      <c r="AD50" s="646"/>
      <c r="AE50" s="647"/>
      <c r="AF50" s="615" t="e">
        <f>COUNTIFS(#REF!,"&gt;=75",#REF!,"&lt;=150",#REF!,"Hispanic-Latino ",#REF!,"Female",#REF!,"YES")</f>
        <v>#REF!</v>
      </c>
      <c r="AG50" s="646"/>
      <c r="AH50" s="647"/>
      <c r="AI50" s="615" t="e">
        <f>COUNTIFS(#REF!,"&gt;=75",#REF!,"&lt;=150",#REF!,"Unknown",#REF!,"Female",#REF!,"YES")</f>
        <v>#REF!</v>
      </c>
      <c r="AJ50" s="646"/>
      <c r="AK50" s="643"/>
      <c r="AL50" s="648" t="e">
        <f t="shared" si="25"/>
        <v>#REF!</v>
      </c>
      <c r="AM50" s="644"/>
    </row>
    <row r="51" spans="1:39" ht="15.75" customHeight="1" x14ac:dyDescent="0.25">
      <c r="A51" s="975" t="s">
        <v>639</v>
      </c>
      <c r="B51" s="714"/>
      <c r="C51" s="643">
        <f t="shared" ref="C51:D51" si="35">SUM(C41:C50)</f>
        <v>0</v>
      </c>
      <c r="D51" s="623" t="e">
        <f t="shared" si="35"/>
        <v>#REF!</v>
      </c>
      <c r="E51" s="649"/>
      <c r="F51" s="650"/>
      <c r="G51" s="623" t="e">
        <f>SUM(G41:G50)</f>
        <v>#REF!</v>
      </c>
      <c r="H51" s="649"/>
      <c r="I51" s="650"/>
      <c r="J51" s="623" t="e">
        <f>SUM(J41:J50)</f>
        <v>#REF!</v>
      </c>
      <c r="K51" s="649"/>
      <c r="L51" s="650">
        <f t="shared" ref="L51:M51" si="36">SUM(L41:L50)</f>
        <v>0</v>
      </c>
      <c r="M51" s="623" t="e">
        <f t="shared" si="36"/>
        <v>#REF!</v>
      </c>
      <c r="N51" s="649"/>
      <c r="O51" s="650">
        <f t="shared" ref="O51:P51" si="37">SUM(O41:O50)</f>
        <v>0</v>
      </c>
      <c r="P51" s="623" t="e">
        <f t="shared" si="37"/>
        <v>#REF!</v>
      </c>
      <c r="Q51" s="649"/>
      <c r="R51" s="650"/>
      <c r="S51" s="623" t="e">
        <f>SUM(S41:S50)</f>
        <v>#REF!</v>
      </c>
      <c r="T51" s="649"/>
      <c r="U51" s="650"/>
      <c r="V51" s="623" t="e">
        <f>SUM(V41:V50)</f>
        <v>#REF!</v>
      </c>
      <c r="W51" s="651"/>
      <c r="X51" s="650">
        <f t="shared" ref="X51:Y51" si="38">C51+F51+I51+L51+O51+R51+U51</f>
        <v>0</v>
      </c>
      <c r="Y51" s="627" t="e">
        <f t="shared" si="38"/>
        <v>#REF!</v>
      </c>
      <c r="Z51" s="652"/>
      <c r="AA51" s="628" t="s">
        <v>640</v>
      </c>
      <c r="AB51" s="650">
        <f t="shared" ref="AB51:AC51" si="39">SUM(AB41:AB50)</f>
        <v>0</v>
      </c>
      <c r="AC51" s="630" t="e">
        <f t="shared" si="39"/>
        <v>#REF!</v>
      </c>
      <c r="AD51" s="649"/>
      <c r="AE51" s="650">
        <f t="shared" ref="AE51:AF51" si="40">SUM(AE41:AE50)</f>
        <v>0</v>
      </c>
      <c r="AF51" s="630" t="e">
        <f t="shared" si="40"/>
        <v>#REF!</v>
      </c>
      <c r="AG51" s="649"/>
      <c r="AH51" s="650">
        <f t="shared" ref="AH51:AI51" si="41">SUM(AH41:AH50)</f>
        <v>0</v>
      </c>
      <c r="AI51" s="630" t="e">
        <f t="shared" si="41"/>
        <v>#REF!</v>
      </c>
      <c r="AJ51" s="649"/>
      <c r="AK51" s="650">
        <f>SUM(AK41:AK50)</f>
        <v>0</v>
      </c>
      <c r="AL51" s="630" t="e">
        <f t="shared" si="25"/>
        <v>#REF!</v>
      </c>
      <c r="AM51" s="652"/>
    </row>
    <row r="52" spans="1:39" ht="15" customHeight="1" x14ac:dyDescent="0.3">
      <c r="A52" s="949" t="s">
        <v>645</v>
      </c>
      <c r="B52" s="698"/>
      <c r="C52" s="698"/>
      <c r="D52" s="698"/>
      <c r="E52" s="698"/>
      <c r="F52" s="698"/>
      <c r="G52" s="698"/>
      <c r="H52" s="698"/>
      <c r="I52" s="698"/>
      <c r="J52" s="698"/>
      <c r="K52" s="698"/>
      <c r="L52" s="698"/>
      <c r="M52" s="698"/>
      <c r="N52" s="698"/>
      <c r="O52" s="698"/>
      <c r="P52" s="698"/>
      <c r="Q52" s="698"/>
      <c r="R52" s="698"/>
      <c r="S52" s="698"/>
      <c r="T52" s="698"/>
      <c r="U52" s="698"/>
      <c r="V52" s="698"/>
      <c r="W52" s="945"/>
      <c r="X52" s="946" t="e">
        <f>Y51</f>
        <v>#REF!</v>
      </c>
      <c r="Y52" s="698"/>
      <c r="Z52" s="699"/>
      <c r="AA52" s="633"/>
      <c r="AB52" s="947" t="s">
        <v>645</v>
      </c>
      <c r="AC52" s="698"/>
      <c r="AD52" s="698"/>
      <c r="AE52" s="698"/>
      <c r="AF52" s="698"/>
      <c r="AG52" s="698"/>
      <c r="AH52" s="698"/>
      <c r="AI52" s="698"/>
      <c r="AJ52" s="945"/>
      <c r="AK52" s="948" t="e">
        <f>AL51</f>
        <v>#REF!</v>
      </c>
      <c r="AL52" s="698"/>
      <c r="AM52" s="699"/>
    </row>
    <row r="53" spans="1:39" ht="15.75" customHeight="1" x14ac:dyDescent="0.3">
      <c r="A53" s="950" t="s">
        <v>646</v>
      </c>
      <c r="B53" s="705"/>
      <c r="C53" s="705"/>
      <c r="D53" s="705"/>
      <c r="E53" s="705"/>
      <c r="F53" s="705"/>
      <c r="G53" s="705"/>
      <c r="H53" s="705"/>
      <c r="I53" s="705"/>
      <c r="J53" s="705"/>
      <c r="K53" s="705"/>
      <c r="L53" s="705"/>
      <c r="M53" s="705"/>
      <c r="N53" s="705"/>
      <c r="O53" s="705"/>
      <c r="P53" s="705"/>
      <c r="Q53" s="705"/>
      <c r="R53" s="705"/>
      <c r="S53" s="705"/>
      <c r="T53" s="705"/>
      <c r="U53" s="705"/>
      <c r="V53" s="705"/>
      <c r="W53" s="833"/>
      <c r="X53" s="951" t="e">
        <f>X36+Y51</f>
        <v>#REF!</v>
      </c>
      <c r="Y53" s="705"/>
      <c r="Z53" s="833"/>
      <c r="AA53" s="653"/>
      <c r="AB53" s="952" t="s">
        <v>646</v>
      </c>
      <c r="AC53" s="705"/>
      <c r="AD53" s="705"/>
      <c r="AE53" s="705"/>
      <c r="AF53" s="705"/>
      <c r="AG53" s="705"/>
      <c r="AH53" s="705"/>
      <c r="AI53" s="705"/>
      <c r="AJ53" s="833"/>
      <c r="AK53" s="951" t="e">
        <f>AK36+AK52</f>
        <v>#REF!</v>
      </c>
      <c r="AL53" s="705"/>
      <c r="AM53" s="833"/>
    </row>
    <row r="54" spans="1:39" ht="15.75" customHeight="1" x14ac:dyDescent="0.25"/>
    <row r="55" spans="1:39" ht="15.75" customHeight="1" x14ac:dyDescent="0.3">
      <c r="A55" s="973" t="s">
        <v>647</v>
      </c>
      <c r="B55" s="698"/>
      <c r="C55" s="698"/>
      <c r="D55" s="698"/>
      <c r="E55" s="698"/>
      <c r="F55" s="698"/>
      <c r="G55" s="698"/>
      <c r="H55" s="698"/>
      <c r="I55" s="699"/>
      <c r="J55" s="974"/>
      <c r="K55" s="699"/>
      <c r="L55" s="654"/>
      <c r="M55" s="654"/>
    </row>
    <row r="56" spans="1:39" ht="15.75" customHeight="1" x14ac:dyDescent="0.25">
      <c r="A56" s="961" t="s">
        <v>648</v>
      </c>
      <c r="B56" s="698"/>
      <c r="C56" s="698"/>
      <c r="D56" s="698"/>
      <c r="E56" s="698"/>
      <c r="F56" s="698"/>
      <c r="G56" s="698"/>
      <c r="H56" s="698"/>
      <c r="I56" s="699"/>
      <c r="J56" s="961"/>
      <c r="K56" s="699"/>
      <c r="L56" s="655"/>
      <c r="M56" s="655"/>
    </row>
    <row r="57" spans="1:39" ht="15.75" customHeight="1" x14ac:dyDescent="0.25">
      <c r="A57" s="875" t="s">
        <v>649</v>
      </c>
      <c r="B57" s="698"/>
      <c r="C57" s="698"/>
      <c r="D57" s="698"/>
      <c r="E57" s="698"/>
      <c r="F57" s="698"/>
      <c r="G57" s="698"/>
      <c r="H57" s="698"/>
      <c r="I57" s="699"/>
      <c r="J57" s="875"/>
      <c r="K57" s="699"/>
      <c r="L57" s="655"/>
      <c r="M57" s="655"/>
    </row>
    <row r="58" spans="1:39" ht="15.75" customHeight="1" x14ac:dyDescent="0.25">
      <c r="A58" s="961" t="s">
        <v>203</v>
      </c>
      <c r="B58" s="698"/>
      <c r="C58" s="698"/>
      <c r="D58" s="698"/>
      <c r="E58" s="698"/>
      <c r="F58" s="698"/>
      <c r="G58" s="698"/>
      <c r="H58" s="698"/>
      <c r="I58" s="699"/>
      <c r="J58" s="961"/>
      <c r="K58" s="699"/>
      <c r="L58" s="655"/>
      <c r="M58" s="655"/>
    </row>
    <row r="59" spans="1:39" ht="15.75" customHeight="1" x14ac:dyDescent="0.25">
      <c r="A59" s="875"/>
      <c r="B59" s="698"/>
      <c r="C59" s="698"/>
      <c r="D59" s="698"/>
      <c r="E59" s="698"/>
      <c r="F59" s="698"/>
      <c r="G59" s="698"/>
      <c r="H59" s="698"/>
      <c r="I59" s="699"/>
      <c r="J59" s="875"/>
      <c r="K59" s="699"/>
      <c r="L59" s="655"/>
      <c r="M59" s="655"/>
    </row>
    <row r="60" spans="1:39" ht="15.75" customHeight="1" x14ac:dyDescent="0.25">
      <c r="A60" s="959"/>
      <c r="B60" s="705"/>
      <c r="C60" s="705"/>
      <c r="D60" s="705"/>
      <c r="E60" s="705"/>
      <c r="F60" s="705"/>
      <c r="G60" s="705"/>
      <c r="H60" s="705"/>
      <c r="I60" s="706"/>
      <c r="J60" s="959"/>
      <c r="K60" s="706"/>
      <c r="L60" s="656"/>
      <c r="M60" s="656"/>
    </row>
    <row r="61" spans="1:39" ht="15.75" customHeight="1" x14ac:dyDescent="0.25">
      <c r="A61" s="960" t="s">
        <v>650</v>
      </c>
      <c r="B61" s="698"/>
      <c r="C61" s="698"/>
      <c r="D61" s="698"/>
      <c r="E61" s="698"/>
      <c r="F61" s="698"/>
      <c r="G61" s="698"/>
      <c r="H61" s="698"/>
      <c r="I61" s="698"/>
      <c r="J61" s="698"/>
      <c r="K61" s="698"/>
      <c r="L61" s="698"/>
      <c r="M61" s="698"/>
      <c r="N61" s="698"/>
      <c r="O61" s="699"/>
    </row>
    <row r="62" spans="1:39" ht="15.75" customHeight="1" x14ac:dyDescent="0.25">
      <c r="A62" s="961" t="s">
        <v>651</v>
      </c>
      <c r="B62" s="698"/>
      <c r="C62" s="698"/>
      <c r="D62" s="698"/>
      <c r="E62" s="698"/>
      <c r="F62" s="698"/>
      <c r="G62" s="698"/>
      <c r="H62" s="698"/>
      <c r="I62" s="698"/>
      <c r="J62" s="698"/>
      <c r="K62" s="698"/>
      <c r="L62" s="698"/>
      <c r="M62" s="699"/>
      <c r="N62" s="961"/>
      <c r="O62" s="699"/>
      <c r="P62" s="657"/>
      <c r="Q62" s="657"/>
    </row>
    <row r="63" spans="1:39" ht="15.75" customHeight="1" x14ac:dyDescent="0.25">
      <c r="A63" s="961" t="s">
        <v>652</v>
      </c>
      <c r="B63" s="698"/>
      <c r="C63" s="698"/>
      <c r="D63" s="698"/>
      <c r="E63" s="698"/>
      <c r="F63" s="698"/>
      <c r="G63" s="698"/>
      <c r="H63" s="698"/>
      <c r="I63" s="698"/>
      <c r="J63" s="698"/>
      <c r="K63" s="698"/>
      <c r="L63" s="698"/>
      <c r="M63" s="699"/>
      <c r="N63" s="961"/>
      <c r="O63" s="699"/>
      <c r="P63" s="657"/>
      <c r="Q63" s="657"/>
    </row>
    <row r="64" spans="1:39" ht="15.75" customHeight="1" x14ac:dyDescent="0.25">
      <c r="A64" s="961" t="s">
        <v>653</v>
      </c>
      <c r="B64" s="698"/>
      <c r="C64" s="698"/>
      <c r="D64" s="698"/>
      <c r="E64" s="698"/>
      <c r="F64" s="698"/>
      <c r="G64" s="698"/>
      <c r="H64" s="698"/>
      <c r="I64" s="698"/>
      <c r="J64" s="698"/>
      <c r="K64" s="698"/>
      <c r="L64" s="698"/>
      <c r="M64" s="699"/>
      <c r="N64" s="961"/>
      <c r="O64" s="699"/>
      <c r="P64" s="657"/>
      <c r="Q64" s="657"/>
    </row>
    <row r="65" spans="1:17" ht="15.75" customHeight="1" x14ac:dyDescent="0.25">
      <c r="A65" s="961" t="s">
        <v>654</v>
      </c>
      <c r="B65" s="698"/>
      <c r="C65" s="698"/>
      <c r="D65" s="698"/>
      <c r="E65" s="698"/>
      <c r="F65" s="698"/>
      <c r="G65" s="698"/>
      <c r="H65" s="698"/>
      <c r="I65" s="698"/>
      <c r="J65" s="698"/>
      <c r="K65" s="698"/>
      <c r="L65" s="698"/>
      <c r="M65" s="699"/>
      <c r="N65" s="961"/>
      <c r="O65" s="699"/>
      <c r="P65" s="657"/>
      <c r="Q65" s="657"/>
    </row>
    <row r="66" spans="1:17" ht="15.75" customHeight="1" x14ac:dyDescent="0.25">
      <c r="A66" s="961" t="s">
        <v>655</v>
      </c>
      <c r="B66" s="698"/>
      <c r="C66" s="698"/>
      <c r="D66" s="698"/>
      <c r="E66" s="698"/>
      <c r="F66" s="698"/>
      <c r="G66" s="698"/>
      <c r="H66" s="698"/>
      <c r="I66" s="698"/>
      <c r="J66" s="698"/>
      <c r="K66" s="698"/>
      <c r="L66" s="698"/>
      <c r="M66" s="699"/>
      <c r="N66" s="961"/>
      <c r="O66" s="699"/>
      <c r="P66" s="657"/>
      <c r="Q66" s="657"/>
    </row>
    <row r="67" spans="1:17" ht="15.75" customHeight="1" x14ac:dyDescent="0.25">
      <c r="A67" s="961" t="s">
        <v>656</v>
      </c>
      <c r="B67" s="698"/>
      <c r="C67" s="698"/>
      <c r="D67" s="698"/>
      <c r="E67" s="698"/>
      <c r="F67" s="698"/>
      <c r="G67" s="698"/>
      <c r="H67" s="698"/>
      <c r="I67" s="698"/>
      <c r="J67" s="698"/>
      <c r="K67" s="698"/>
      <c r="L67" s="698"/>
      <c r="M67" s="699"/>
      <c r="N67" s="961"/>
      <c r="O67" s="699"/>
      <c r="P67" s="657"/>
      <c r="Q67" s="657"/>
    </row>
    <row r="68" spans="1:17" ht="15.75" customHeight="1" x14ac:dyDescent="0.25">
      <c r="A68" s="961" t="s">
        <v>657</v>
      </c>
      <c r="B68" s="698"/>
      <c r="C68" s="698"/>
      <c r="D68" s="698"/>
      <c r="E68" s="698"/>
      <c r="F68" s="698"/>
      <c r="G68" s="698"/>
      <c r="H68" s="698"/>
      <c r="I68" s="698"/>
      <c r="J68" s="698"/>
      <c r="K68" s="698"/>
      <c r="L68" s="698"/>
      <c r="M68" s="699"/>
      <c r="N68" s="961"/>
      <c r="O68" s="699"/>
      <c r="P68" s="657"/>
      <c r="Q68" s="657"/>
    </row>
    <row r="69" spans="1:17" ht="15.75" customHeight="1" x14ac:dyDescent="0.25">
      <c r="A69" s="961" t="s">
        <v>658</v>
      </c>
      <c r="B69" s="698"/>
      <c r="C69" s="698"/>
      <c r="D69" s="698"/>
      <c r="E69" s="698"/>
      <c r="F69" s="698"/>
      <c r="G69" s="698"/>
      <c r="H69" s="698"/>
      <c r="I69" s="698"/>
      <c r="J69" s="698"/>
      <c r="K69" s="698"/>
      <c r="L69" s="698"/>
      <c r="M69" s="699"/>
      <c r="N69" s="961"/>
      <c r="O69" s="699"/>
      <c r="P69" s="657"/>
      <c r="Q69" s="657"/>
    </row>
    <row r="70" spans="1:17" ht="15.75" customHeight="1" x14ac:dyDescent="0.25">
      <c r="A70" s="965"/>
      <c r="B70" s="698"/>
      <c r="C70" s="698"/>
      <c r="D70" s="698"/>
      <c r="E70" s="698"/>
      <c r="F70" s="698"/>
      <c r="G70" s="698"/>
      <c r="H70" s="698"/>
      <c r="I70" s="698"/>
      <c r="J70" s="698"/>
      <c r="K70" s="698"/>
      <c r="L70" s="698"/>
      <c r="M70" s="698"/>
      <c r="N70" s="698"/>
      <c r="O70" s="699"/>
    </row>
    <row r="71" spans="1:17" ht="15.75" customHeight="1" x14ac:dyDescent="0.25"/>
    <row r="72" spans="1:17" ht="15.75" customHeight="1" x14ac:dyDescent="0.25"/>
    <row r="73" spans="1:17" ht="15.75" customHeight="1" x14ac:dyDescent="0.25"/>
    <row r="74" spans="1:17" ht="15.75" customHeight="1" x14ac:dyDescent="0.25"/>
    <row r="75" spans="1:17" ht="15.75" customHeight="1" x14ac:dyDescent="0.25">
      <c r="A75" s="962" t="s">
        <v>659</v>
      </c>
      <c r="B75" s="708"/>
      <c r="C75" s="708"/>
      <c r="D75" s="708"/>
      <c r="E75" s="708"/>
      <c r="F75" s="708"/>
      <c r="G75" s="708"/>
      <c r="H75" s="709"/>
    </row>
    <row r="76" spans="1:17" ht="15.75" customHeight="1" x14ac:dyDescent="0.25"/>
    <row r="77" spans="1:17" ht="15.75" customHeight="1" x14ac:dyDescent="0.25"/>
    <row r="78" spans="1:17" ht="15.75" customHeight="1" x14ac:dyDescent="0.25"/>
    <row r="79" spans="1:17" ht="15.75" customHeight="1" x14ac:dyDescent="0.25"/>
    <row r="80" spans="1:17" ht="15.75" customHeight="1" x14ac:dyDescent="0.25"/>
    <row r="81" spans="1:8" ht="15.75" customHeight="1" x14ac:dyDescent="0.25"/>
    <row r="82" spans="1:8" ht="15.75" customHeight="1" x14ac:dyDescent="0.25"/>
    <row r="83" spans="1:8" ht="15.75" customHeight="1" x14ac:dyDescent="0.25"/>
    <row r="84" spans="1:8" ht="15.75" customHeight="1" x14ac:dyDescent="0.25"/>
    <row r="85" spans="1:8" ht="15.75" customHeight="1" x14ac:dyDescent="0.25"/>
    <row r="86" spans="1:8" ht="15.75" customHeight="1" x14ac:dyDescent="0.25"/>
    <row r="87" spans="1:8" ht="15.75" customHeight="1" x14ac:dyDescent="0.25"/>
    <row r="88" spans="1:8" ht="15.75" customHeight="1" x14ac:dyDescent="0.25"/>
    <row r="89" spans="1:8" ht="15.75" customHeight="1" x14ac:dyDescent="0.25"/>
    <row r="90" spans="1:8" ht="15.75" customHeight="1" x14ac:dyDescent="0.25"/>
    <row r="91" spans="1:8" ht="15.75" customHeight="1" x14ac:dyDescent="0.25"/>
    <row r="92" spans="1:8" ht="15.75" customHeight="1" x14ac:dyDescent="0.25"/>
    <row r="93" spans="1:8" ht="15.75" customHeight="1" x14ac:dyDescent="0.25"/>
    <row r="94" spans="1:8" ht="15.75" customHeight="1" x14ac:dyDescent="0.25"/>
    <row r="95" spans="1:8" ht="15.75" customHeight="1" x14ac:dyDescent="0.25">
      <c r="A95" s="962" t="s">
        <v>660</v>
      </c>
      <c r="B95" s="708"/>
      <c r="C95" s="708"/>
      <c r="D95" s="708"/>
      <c r="E95" s="708"/>
      <c r="F95" s="708"/>
      <c r="G95" s="708"/>
      <c r="H95" s="709"/>
    </row>
    <row r="96" spans="1:8"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spans="1:8" ht="15.75" customHeight="1" x14ac:dyDescent="0.25"/>
    <row r="114" spans="1:8" ht="15.75" customHeight="1" x14ac:dyDescent="0.25"/>
    <row r="115" spans="1:8" ht="15.75" customHeight="1" x14ac:dyDescent="0.25">
      <c r="A115" s="963" t="s">
        <v>661</v>
      </c>
      <c r="B115" s="708"/>
      <c r="C115" s="708"/>
      <c r="D115" s="708"/>
      <c r="E115" s="708"/>
      <c r="F115" s="708"/>
      <c r="G115" s="708"/>
      <c r="H115" s="709"/>
    </row>
    <row r="116" spans="1:8" ht="15.75" customHeight="1" x14ac:dyDescent="0.25"/>
    <row r="117" spans="1:8" ht="15.75" customHeight="1" x14ac:dyDescent="0.25"/>
    <row r="118" spans="1:8" ht="15.75" customHeight="1" x14ac:dyDescent="0.25"/>
    <row r="119" spans="1:8" ht="15.75" customHeight="1" x14ac:dyDescent="0.25"/>
    <row r="120" spans="1:8" ht="15.75" customHeight="1" x14ac:dyDescent="0.25"/>
    <row r="121" spans="1:8" ht="15.75" customHeight="1" x14ac:dyDescent="0.25"/>
    <row r="122" spans="1:8" ht="15.75" customHeight="1" x14ac:dyDescent="0.25"/>
    <row r="123" spans="1:8" ht="15.75" customHeight="1" x14ac:dyDescent="0.25"/>
    <row r="124" spans="1:8" ht="15.75" customHeight="1" x14ac:dyDescent="0.25"/>
    <row r="125" spans="1:8" ht="15.75" customHeight="1" x14ac:dyDescent="0.25"/>
    <row r="126" spans="1:8" ht="15.75" customHeight="1" x14ac:dyDescent="0.25"/>
    <row r="127" spans="1:8" ht="15.75" customHeight="1" x14ac:dyDescent="0.25"/>
    <row r="128" spans="1:8" ht="15.75" customHeight="1" x14ac:dyDescent="0.25"/>
    <row r="129" spans="1:8" ht="15.75" customHeight="1" x14ac:dyDescent="0.25"/>
    <row r="130" spans="1:8" ht="15.75" customHeight="1" x14ac:dyDescent="0.25"/>
    <row r="131" spans="1:8" ht="15.75" customHeight="1" x14ac:dyDescent="0.25"/>
    <row r="132" spans="1:8" ht="15.75" customHeight="1" x14ac:dyDescent="0.25"/>
    <row r="133" spans="1:8" ht="15.75" customHeight="1" x14ac:dyDescent="0.25"/>
    <row r="134" spans="1:8" ht="15.75" customHeight="1" x14ac:dyDescent="0.25"/>
    <row r="135" spans="1:8" ht="15.75" customHeight="1" x14ac:dyDescent="0.25">
      <c r="A135" s="964" t="s">
        <v>662</v>
      </c>
      <c r="B135" s="708"/>
      <c r="C135" s="708"/>
      <c r="D135" s="708"/>
      <c r="E135" s="708"/>
      <c r="F135" s="708"/>
      <c r="G135" s="708"/>
      <c r="H135" s="709"/>
    </row>
    <row r="136" spans="1:8" ht="15.75" customHeight="1" x14ac:dyDescent="0.25"/>
    <row r="137" spans="1:8" ht="15.75" customHeight="1" x14ac:dyDescent="0.25"/>
    <row r="138" spans="1:8" ht="15.75" customHeight="1" x14ac:dyDescent="0.25"/>
    <row r="139" spans="1:8" ht="15.75" customHeight="1" x14ac:dyDescent="0.25"/>
    <row r="140" spans="1:8" ht="15.75" customHeight="1" x14ac:dyDescent="0.25"/>
    <row r="141" spans="1:8" ht="15.75" customHeight="1" x14ac:dyDescent="0.25"/>
    <row r="142" spans="1:8" ht="15.75" customHeight="1" x14ac:dyDescent="0.25"/>
    <row r="143" spans="1:8" ht="15.75" customHeight="1" x14ac:dyDescent="0.25"/>
    <row r="144" spans="1:8"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4">
    <mergeCell ref="A42:B42"/>
    <mergeCell ref="A43:B43"/>
    <mergeCell ref="A44:B44"/>
    <mergeCell ref="A45:B45"/>
    <mergeCell ref="A46:B46"/>
    <mergeCell ref="A47:B47"/>
    <mergeCell ref="A56:I56"/>
    <mergeCell ref="J56:K56"/>
    <mergeCell ref="A57:I57"/>
    <mergeCell ref="J57:K57"/>
    <mergeCell ref="A55:I55"/>
    <mergeCell ref="J55:K55"/>
    <mergeCell ref="A48:B48"/>
    <mergeCell ref="A49:B49"/>
    <mergeCell ref="A50:B50"/>
    <mergeCell ref="A51:B51"/>
    <mergeCell ref="AB39:AD39"/>
    <mergeCell ref="AE39:AG39"/>
    <mergeCell ref="AH39:AJ39"/>
    <mergeCell ref="AK39:AM39"/>
    <mergeCell ref="A39:B40"/>
    <mergeCell ref="C39:E39"/>
    <mergeCell ref="F39:H39"/>
    <mergeCell ref="I39:K39"/>
    <mergeCell ref="L39:N39"/>
    <mergeCell ref="O39:Q39"/>
    <mergeCell ref="R39:T39"/>
    <mergeCell ref="A135:H135"/>
    <mergeCell ref="A67:M67"/>
    <mergeCell ref="N67:O67"/>
    <mergeCell ref="A68:M68"/>
    <mergeCell ref="N68:O68"/>
    <mergeCell ref="A69:M69"/>
    <mergeCell ref="N69:O69"/>
    <mergeCell ref="A70:O70"/>
    <mergeCell ref="I23:K23"/>
    <mergeCell ref="L23:N23"/>
    <mergeCell ref="A24:B24"/>
    <mergeCell ref="A25:B25"/>
    <mergeCell ref="A26:B26"/>
    <mergeCell ref="A27:B27"/>
    <mergeCell ref="A28:B28"/>
    <mergeCell ref="A36:W36"/>
    <mergeCell ref="A29:B29"/>
    <mergeCell ref="A30:B30"/>
    <mergeCell ref="A31:B31"/>
    <mergeCell ref="A32:B32"/>
    <mergeCell ref="A33:B33"/>
    <mergeCell ref="A34:B34"/>
    <mergeCell ref="A35:B35"/>
    <mergeCell ref="A41:B41"/>
    <mergeCell ref="A64:M64"/>
    <mergeCell ref="N64:O64"/>
    <mergeCell ref="A65:M65"/>
    <mergeCell ref="N65:O65"/>
    <mergeCell ref="A66:M66"/>
    <mergeCell ref="N66:O66"/>
    <mergeCell ref="A75:H75"/>
    <mergeCell ref="A95:H95"/>
    <mergeCell ref="A115:H115"/>
    <mergeCell ref="A59:I59"/>
    <mergeCell ref="A60:I60"/>
    <mergeCell ref="J60:K60"/>
    <mergeCell ref="A61:O61"/>
    <mergeCell ref="A62:M62"/>
    <mergeCell ref="N62:O62"/>
    <mergeCell ref="N63:O63"/>
    <mergeCell ref="A63:M63"/>
    <mergeCell ref="A58:I58"/>
    <mergeCell ref="J58:K58"/>
    <mergeCell ref="J59:K59"/>
    <mergeCell ref="X52:Z52"/>
    <mergeCell ref="AB52:AJ52"/>
    <mergeCell ref="AK52:AM52"/>
    <mergeCell ref="A52:W52"/>
    <mergeCell ref="A53:W53"/>
    <mergeCell ref="X53:Z53"/>
    <mergeCell ref="AB53:AJ53"/>
    <mergeCell ref="AK53:AM53"/>
    <mergeCell ref="O23:Q23"/>
    <mergeCell ref="R23:T23"/>
    <mergeCell ref="U23:W23"/>
    <mergeCell ref="X23:Z23"/>
    <mergeCell ref="AB23:AD23"/>
    <mergeCell ref="AE23:AG23"/>
    <mergeCell ref="AH23:AJ23"/>
    <mergeCell ref="AK23:AM23"/>
    <mergeCell ref="X36:Z36"/>
    <mergeCell ref="AB36:AJ36"/>
    <mergeCell ref="AK36:AM36"/>
    <mergeCell ref="A37:AM37"/>
    <mergeCell ref="C38:Z38"/>
    <mergeCell ref="AB38:AM38"/>
    <mergeCell ref="U39:W39"/>
    <mergeCell ref="X39:Z39"/>
    <mergeCell ref="A20:Q20"/>
    <mergeCell ref="A21:AM21"/>
    <mergeCell ref="C22:Z22"/>
    <mergeCell ref="AB22:AM22"/>
    <mergeCell ref="A23:B23"/>
    <mergeCell ref="C23:E23"/>
    <mergeCell ref="F23:H23"/>
    <mergeCell ref="S17:T17"/>
    <mergeCell ref="U17:V17"/>
    <mergeCell ref="W17:X17"/>
    <mergeCell ref="Y17:Z17"/>
    <mergeCell ref="AA17:AB17"/>
    <mergeCell ref="AC17:AD17"/>
    <mergeCell ref="AE17:AF17"/>
    <mergeCell ref="AG17:AH17"/>
    <mergeCell ref="D17:F17"/>
    <mergeCell ref="G17:H17"/>
    <mergeCell ref="I17:J17"/>
    <mergeCell ref="K17:L17"/>
    <mergeCell ref="M17:N17"/>
    <mergeCell ref="O17:P17"/>
    <mergeCell ref="Q17:R17"/>
    <mergeCell ref="A9:I9"/>
    <mergeCell ref="J9:N9"/>
    <mergeCell ref="O9:R9"/>
    <mergeCell ref="S9:Z9"/>
    <mergeCell ref="AA9:AJ9"/>
    <mergeCell ref="A10:AJ10"/>
    <mergeCell ref="S15:T15"/>
    <mergeCell ref="U15:V15"/>
    <mergeCell ref="AG16:AH16"/>
    <mergeCell ref="O15:P15"/>
    <mergeCell ref="Q15:R15"/>
    <mergeCell ref="D16:F16"/>
    <mergeCell ref="G16:H16"/>
    <mergeCell ref="I16:J16"/>
    <mergeCell ref="K16:L16"/>
    <mergeCell ref="M16:N16"/>
    <mergeCell ref="AC16:AD16"/>
    <mergeCell ref="AE16:AF16"/>
    <mergeCell ref="O16:P16"/>
    <mergeCell ref="Q16:R16"/>
    <mergeCell ref="S16:T16"/>
    <mergeCell ref="U16:V16"/>
    <mergeCell ref="W16:X16"/>
    <mergeCell ref="Y16:Z16"/>
    <mergeCell ref="A1:AJ1"/>
    <mergeCell ref="A2:AJ2"/>
    <mergeCell ref="A3:AJ3"/>
    <mergeCell ref="A4:AJ4"/>
    <mergeCell ref="J5:R5"/>
    <mergeCell ref="S5:Z5"/>
    <mergeCell ref="AA5:AJ5"/>
    <mergeCell ref="S7:Z7"/>
    <mergeCell ref="AA7:AJ7"/>
    <mergeCell ref="J7:R8"/>
    <mergeCell ref="S8:Z8"/>
    <mergeCell ref="A5:I5"/>
    <mergeCell ref="A6:I6"/>
    <mergeCell ref="J6:R6"/>
    <mergeCell ref="S6:Z6"/>
    <mergeCell ref="AA6:AJ6"/>
    <mergeCell ref="A7:I7"/>
    <mergeCell ref="AA8:AJ8"/>
    <mergeCell ref="A8:I8"/>
    <mergeCell ref="AA16:AB16"/>
    <mergeCell ref="W15:X15"/>
    <mergeCell ref="Y15:Z15"/>
    <mergeCell ref="AA15:AB15"/>
    <mergeCell ref="AC15:AD15"/>
    <mergeCell ref="AE15:AF15"/>
    <mergeCell ref="AG15:AH15"/>
    <mergeCell ref="A12:AJ12"/>
    <mergeCell ref="D14:AH14"/>
    <mergeCell ref="D15:F15"/>
    <mergeCell ref="G15:H15"/>
    <mergeCell ref="I15:J15"/>
    <mergeCell ref="K15:L15"/>
    <mergeCell ref="M15:N15"/>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1800-000000000000}">
          <x14:formula1>
            <xm:f>'Pick List '!$A$4:$A$15</xm:f>
          </x14:formula1>
          <xm:sqref>J9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000"/>
  <sheetViews>
    <sheetView workbookViewId="0"/>
  </sheetViews>
  <sheetFormatPr defaultColWidth="14.42578125" defaultRowHeight="15" customHeight="1" x14ac:dyDescent="0.25"/>
  <cols>
    <col min="1" max="14" width="8.7109375" customWidth="1"/>
    <col min="15" max="15" width="11.42578125" customWidth="1"/>
    <col min="16" max="26" width="8.7109375" customWidth="1"/>
  </cols>
  <sheetData>
    <row r="1" spans="1:21" x14ac:dyDescent="0.25">
      <c r="A1" s="49" t="s">
        <v>663</v>
      </c>
    </row>
    <row r="3" spans="1:21" x14ac:dyDescent="0.25">
      <c r="A3" s="658" t="s">
        <v>664</v>
      </c>
      <c r="C3" s="658" t="s">
        <v>665</v>
      </c>
      <c r="E3" s="658" t="s">
        <v>611</v>
      </c>
      <c r="I3" s="658" t="s">
        <v>666</v>
      </c>
      <c r="L3" s="658" t="s">
        <v>201</v>
      </c>
      <c r="N3" s="658" t="s">
        <v>667</v>
      </c>
      <c r="O3" s="658" t="s">
        <v>668</v>
      </c>
      <c r="Q3" s="658" t="s">
        <v>669</v>
      </c>
      <c r="S3" s="658" t="s">
        <v>670</v>
      </c>
      <c r="U3" s="658" t="s">
        <v>671</v>
      </c>
    </row>
    <row r="4" spans="1:21" x14ac:dyDescent="0.25">
      <c r="A4" s="587" t="s">
        <v>4</v>
      </c>
      <c r="C4" s="587">
        <v>2020</v>
      </c>
      <c r="E4" s="587" t="s">
        <v>672</v>
      </c>
      <c r="I4" s="587" t="s">
        <v>622</v>
      </c>
      <c r="L4" s="587" t="s">
        <v>625</v>
      </c>
      <c r="N4" s="659" t="s">
        <v>673</v>
      </c>
      <c r="O4" s="660">
        <v>4</v>
      </c>
      <c r="P4" s="661">
        <v>1</v>
      </c>
      <c r="Q4" s="587" t="s">
        <v>674</v>
      </c>
      <c r="R4" s="661">
        <v>22</v>
      </c>
      <c r="S4" s="587" t="s">
        <v>673</v>
      </c>
      <c r="T4" s="661">
        <v>45</v>
      </c>
      <c r="U4" s="587" t="s">
        <v>675</v>
      </c>
    </row>
    <row r="5" spans="1:21" x14ac:dyDescent="0.25">
      <c r="A5" s="587" t="s">
        <v>6</v>
      </c>
      <c r="C5" s="587">
        <v>2021</v>
      </c>
      <c r="E5" s="587" t="s">
        <v>676</v>
      </c>
      <c r="I5" s="587" t="s">
        <v>677</v>
      </c>
      <c r="L5" s="587" t="s">
        <v>626</v>
      </c>
      <c r="N5" s="659" t="s">
        <v>678</v>
      </c>
      <c r="O5" s="660">
        <v>2</v>
      </c>
      <c r="P5" s="661">
        <v>2</v>
      </c>
      <c r="Q5" s="587" t="s">
        <v>679</v>
      </c>
      <c r="R5" s="661">
        <v>23</v>
      </c>
      <c r="S5" s="587" t="s">
        <v>680</v>
      </c>
      <c r="T5" s="661">
        <v>46</v>
      </c>
      <c r="U5" s="587" t="s">
        <v>681</v>
      </c>
    </row>
    <row r="6" spans="1:21" x14ac:dyDescent="0.25">
      <c r="A6" s="587" t="s">
        <v>682</v>
      </c>
      <c r="C6" s="587">
        <v>2022</v>
      </c>
      <c r="E6" s="587" t="s">
        <v>617</v>
      </c>
      <c r="I6" s="587" t="s">
        <v>683</v>
      </c>
      <c r="L6" s="587" t="s">
        <v>684</v>
      </c>
      <c r="N6" s="659" t="s">
        <v>685</v>
      </c>
      <c r="O6" s="660">
        <v>5</v>
      </c>
      <c r="P6" s="661">
        <v>3</v>
      </c>
      <c r="Q6" s="587" t="s">
        <v>686</v>
      </c>
      <c r="R6" s="661">
        <v>24</v>
      </c>
      <c r="S6" s="587" t="s">
        <v>687</v>
      </c>
      <c r="T6" s="661">
        <v>47</v>
      </c>
      <c r="U6" s="587" t="s">
        <v>688</v>
      </c>
    </row>
    <row r="7" spans="1:21" x14ac:dyDescent="0.25">
      <c r="A7" s="587" t="s">
        <v>13</v>
      </c>
      <c r="C7" s="587">
        <v>2023</v>
      </c>
      <c r="E7" s="587" t="s">
        <v>614</v>
      </c>
      <c r="N7" s="659" t="s">
        <v>680</v>
      </c>
      <c r="O7" s="660">
        <v>4</v>
      </c>
      <c r="P7" s="661">
        <v>4</v>
      </c>
      <c r="Q7" s="587" t="s">
        <v>689</v>
      </c>
      <c r="R7" s="661">
        <v>25</v>
      </c>
      <c r="S7" s="587" t="s">
        <v>690</v>
      </c>
      <c r="T7" s="661">
        <v>48</v>
      </c>
      <c r="U7" s="587" t="s">
        <v>691</v>
      </c>
    </row>
    <row r="8" spans="1:21" x14ac:dyDescent="0.25">
      <c r="A8" s="587" t="s">
        <v>692</v>
      </c>
      <c r="C8" s="587">
        <v>2024</v>
      </c>
      <c r="E8" s="587" t="s">
        <v>693</v>
      </c>
      <c r="N8" s="662" t="s">
        <v>674</v>
      </c>
      <c r="O8" s="660">
        <v>1</v>
      </c>
      <c r="P8" s="661">
        <v>5</v>
      </c>
      <c r="Q8" s="587" t="s">
        <v>694</v>
      </c>
      <c r="R8" s="661">
        <v>26</v>
      </c>
      <c r="S8" s="587" t="s">
        <v>695</v>
      </c>
      <c r="T8" s="661">
        <v>49</v>
      </c>
      <c r="U8" s="587" t="s">
        <v>696</v>
      </c>
    </row>
    <row r="9" spans="1:21" x14ac:dyDescent="0.25">
      <c r="A9" s="587" t="s">
        <v>697</v>
      </c>
      <c r="C9" s="587">
        <v>2025</v>
      </c>
      <c r="E9" s="587" t="s">
        <v>616</v>
      </c>
      <c r="L9" s="587" t="s">
        <v>625</v>
      </c>
      <c r="N9" s="659" t="s">
        <v>698</v>
      </c>
      <c r="O9" s="660">
        <v>5</v>
      </c>
      <c r="P9" s="661"/>
      <c r="R9" s="661">
        <v>27</v>
      </c>
      <c r="S9" s="587" t="s">
        <v>699</v>
      </c>
      <c r="T9" s="661">
        <v>50</v>
      </c>
      <c r="U9" s="587" t="s">
        <v>700</v>
      </c>
    </row>
    <row r="10" spans="1:21" x14ac:dyDescent="0.25">
      <c r="A10" s="587" t="s">
        <v>701</v>
      </c>
      <c r="C10" s="587">
        <v>2026</v>
      </c>
      <c r="E10" s="587" t="s">
        <v>683</v>
      </c>
      <c r="L10" s="587" t="s">
        <v>626</v>
      </c>
      <c r="N10" s="659" t="s">
        <v>702</v>
      </c>
      <c r="O10" s="660">
        <v>3</v>
      </c>
      <c r="P10" s="661"/>
      <c r="R10" s="661">
        <v>28</v>
      </c>
      <c r="S10" s="587" t="s">
        <v>703</v>
      </c>
      <c r="T10" s="661">
        <v>51</v>
      </c>
      <c r="U10" s="587" t="s">
        <v>704</v>
      </c>
    </row>
    <row r="11" spans="1:21" x14ac:dyDescent="0.25">
      <c r="A11" s="587" t="s">
        <v>705</v>
      </c>
      <c r="C11" s="587">
        <v>2027</v>
      </c>
      <c r="I11" s="49" t="s">
        <v>706</v>
      </c>
      <c r="L11" s="587" t="s">
        <v>684</v>
      </c>
      <c r="N11" s="659" t="s">
        <v>707</v>
      </c>
      <c r="O11" s="660">
        <v>5</v>
      </c>
      <c r="P11" s="661"/>
      <c r="Q11" s="663" t="s">
        <v>708</v>
      </c>
      <c r="R11" s="661">
        <v>29</v>
      </c>
      <c r="S11" s="587" t="s">
        <v>709</v>
      </c>
      <c r="T11" s="661">
        <v>52</v>
      </c>
      <c r="U11" s="587" t="s">
        <v>710</v>
      </c>
    </row>
    <row r="12" spans="1:21" x14ac:dyDescent="0.25">
      <c r="A12" s="587" t="s">
        <v>8</v>
      </c>
      <c r="C12" s="587">
        <v>2028</v>
      </c>
      <c r="I12" s="49" t="s">
        <v>711</v>
      </c>
      <c r="L12" s="587" t="s">
        <v>712</v>
      </c>
      <c r="N12" s="659" t="s">
        <v>687</v>
      </c>
      <c r="O12" s="660">
        <v>4</v>
      </c>
      <c r="P12" s="661">
        <v>6</v>
      </c>
      <c r="Q12" s="587" t="s">
        <v>678</v>
      </c>
      <c r="R12" s="661">
        <v>30</v>
      </c>
      <c r="S12" s="587" t="s">
        <v>713</v>
      </c>
      <c r="T12" s="661">
        <v>53</v>
      </c>
      <c r="U12" s="587" t="s">
        <v>714</v>
      </c>
    </row>
    <row r="13" spans="1:21" x14ac:dyDescent="0.25">
      <c r="A13" s="587" t="s">
        <v>5</v>
      </c>
      <c r="C13" s="587">
        <v>2029</v>
      </c>
      <c r="I13" s="49" t="s">
        <v>715</v>
      </c>
      <c r="L13" s="587"/>
      <c r="N13" s="659" t="s">
        <v>675</v>
      </c>
      <c r="O13" s="660">
        <v>6</v>
      </c>
      <c r="P13" s="661">
        <v>7</v>
      </c>
      <c r="Q13" s="587" t="s">
        <v>716</v>
      </c>
      <c r="R13" s="661">
        <v>31</v>
      </c>
      <c r="S13" s="587" t="s">
        <v>717</v>
      </c>
      <c r="T13" s="661">
        <v>54</v>
      </c>
      <c r="U13" s="587" t="s">
        <v>718</v>
      </c>
    </row>
    <row r="14" spans="1:21" x14ac:dyDescent="0.25">
      <c r="A14" s="587" t="s">
        <v>7</v>
      </c>
      <c r="C14" s="587">
        <v>2030</v>
      </c>
      <c r="E14" s="658" t="s">
        <v>719</v>
      </c>
      <c r="F14" s="658"/>
      <c r="G14" s="658"/>
      <c r="I14" s="49" t="s">
        <v>720</v>
      </c>
      <c r="N14" s="659" t="s">
        <v>690</v>
      </c>
      <c r="O14" s="660">
        <v>4</v>
      </c>
      <c r="P14" s="661">
        <v>8</v>
      </c>
      <c r="Q14" s="587" t="s">
        <v>721</v>
      </c>
      <c r="R14" s="661">
        <v>32</v>
      </c>
      <c r="S14" s="587" t="s">
        <v>722</v>
      </c>
      <c r="T14" s="661">
        <v>55</v>
      </c>
      <c r="U14" s="587" t="s">
        <v>723</v>
      </c>
    </row>
    <row r="15" spans="1:21" x14ac:dyDescent="0.25">
      <c r="A15" s="587" t="s">
        <v>724</v>
      </c>
      <c r="E15" s="587" t="s">
        <v>129</v>
      </c>
      <c r="G15" s="49" t="s">
        <v>129</v>
      </c>
      <c r="I15" s="49" t="s">
        <v>725</v>
      </c>
      <c r="N15" s="659" t="s">
        <v>716</v>
      </c>
      <c r="O15" s="660">
        <v>2</v>
      </c>
      <c r="P15" s="661">
        <v>9</v>
      </c>
      <c r="Q15" s="587" t="s">
        <v>726</v>
      </c>
      <c r="R15" s="661">
        <v>33</v>
      </c>
      <c r="S15" s="587" t="s">
        <v>727</v>
      </c>
    </row>
    <row r="16" spans="1:21" x14ac:dyDescent="0.25">
      <c r="E16" s="587" t="s">
        <v>230</v>
      </c>
      <c r="G16" s="49" t="s">
        <v>230</v>
      </c>
      <c r="I16" s="49" t="s">
        <v>728</v>
      </c>
      <c r="N16" s="659" t="s">
        <v>681</v>
      </c>
      <c r="O16" s="660">
        <v>6</v>
      </c>
      <c r="P16" s="661">
        <v>10</v>
      </c>
      <c r="Q16" s="587" t="s">
        <v>729</v>
      </c>
      <c r="R16" s="661">
        <v>34</v>
      </c>
      <c r="S16" s="587" t="s">
        <v>730</v>
      </c>
    </row>
    <row r="17" spans="1:19" x14ac:dyDescent="0.25">
      <c r="E17" s="49" t="s">
        <v>731</v>
      </c>
      <c r="I17" s="49" t="s">
        <v>732</v>
      </c>
      <c r="N17" s="659" t="s">
        <v>721</v>
      </c>
      <c r="O17" s="660">
        <v>2</v>
      </c>
      <c r="P17" s="661">
        <v>11</v>
      </c>
      <c r="Q17" s="587" t="s">
        <v>733</v>
      </c>
      <c r="R17" s="661"/>
    </row>
    <row r="18" spans="1:19" x14ac:dyDescent="0.25">
      <c r="A18" s="663" t="s">
        <v>734</v>
      </c>
      <c r="B18" s="658"/>
      <c r="C18" s="658"/>
      <c r="N18" s="662" t="s">
        <v>679</v>
      </c>
      <c r="O18" s="660">
        <v>1</v>
      </c>
      <c r="P18" s="661">
        <v>12</v>
      </c>
      <c r="Q18" s="587" t="s">
        <v>735</v>
      </c>
      <c r="R18" s="661"/>
    </row>
    <row r="19" spans="1:19" x14ac:dyDescent="0.25">
      <c r="A19" s="49" t="s">
        <v>736</v>
      </c>
      <c r="I19" s="658" t="s">
        <v>737</v>
      </c>
      <c r="J19" s="658"/>
      <c r="N19" s="659" t="s">
        <v>726</v>
      </c>
      <c r="O19" s="660">
        <v>2</v>
      </c>
      <c r="P19" s="661">
        <v>13</v>
      </c>
      <c r="Q19" s="587" t="s">
        <v>738</v>
      </c>
      <c r="R19" s="661"/>
      <c r="S19" s="658" t="s">
        <v>739</v>
      </c>
    </row>
    <row r="20" spans="1:19" x14ac:dyDescent="0.25">
      <c r="A20" s="49" t="s">
        <v>740</v>
      </c>
      <c r="E20" s="49" t="s">
        <v>129</v>
      </c>
      <c r="I20" s="49" t="s">
        <v>741</v>
      </c>
      <c r="N20" s="659" t="s">
        <v>695</v>
      </c>
      <c r="O20" s="660">
        <v>4</v>
      </c>
      <c r="P20" s="661"/>
      <c r="R20" s="661">
        <v>35</v>
      </c>
      <c r="S20" s="587" t="s">
        <v>685</v>
      </c>
    </row>
    <row r="21" spans="1:19" ht="15.75" customHeight="1" x14ac:dyDescent="0.25">
      <c r="A21" s="49" t="s">
        <v>742</v>
      </c>
      <c r="E21" s="49" t="s">
        <v>230</v>
      </c>
      <c r="I21" s="49" t="s">
        <v>743</v>
      </c>
      <c r="N21" s="659" t="s">
        <v>744</v>
      </c>
      <c r="O21" s="660">
        <v>3</v>
      </c>
      <c r="P21" s="661"/>
      <c r="R21" s="661">
        <v>36</v>
      </c>
      <c r="S21" s="587" t="s">
        <v>698</v>
      </c>
    </row>
    <row r="22" spans="1:19" ht="15.75" customHeight="1" x14ac:dyDescent="0.25">
      <c r="A22" s="49" t="s">
        <v>745</v>
      </c>
      <c r="E22" s="49" t="s">
        <v>746</v>
      </c>
      <c r="I22" s="49" t="s">
        <v>747</v>
      </c>
      <c r="N22" s="659" t="s">
        <v>729</v>
      </c>
      <c r="O22" s="660">
        <v>2</v>
      </c>
      <c r="P22" s="661"/>
      <c r="Q22" s="663" t="s">
        <v>748</v>
      </c>
      <c r="R22" s="661">
        <v>37</v>
      </c>
      <c r="S22" s="587" t="s">
        <v>707</v>
      </c>
    </row>
    <row r="23" spans="1:19" ht="15.75" customHeight="1" x14ac:dyDescent="0.25">
      <c r="A23" s="49" t="s">
        <v>741</v>
      </c>
      <c r="I23" s="49" t="s">
        <v>749</v>
      </c>
      <c r="N23" s="659" t="s">
        <v>750</v>
      </c>
      <c r="O23" s="660">
        <v>5</v>
      </c>
      <c r="P23" s="661">
        <v>14</v>
      </c>
      <c r="Q23" s="587" t="s">
        <v>702</v>
      </c>
      <c r="R23" s="661">
        <v>38</v>
      </c>
      <c r="S23" s="587" t="s">
        <v>750</v>
      </c>
    </row>
    <row r="24" spans="1:19" ht="15.75" customHeight="1" x14ac:dyDescent="0.25">
      <c r="A24" s="49" t="s">
        <v>751</v>
      </c>
      <c r="I24" s="49" t="s">
        <v>752</v>
      </c>
      <c r="N24" s="659" t="s">
        <v>699</v>
      </c>
      <c r="O24" s="660">
        <v>4</v>
      </c>
      <c r="P24" s="661">
        <v>15</v>
      </c>
      <c r="Q24" s="587" t="s">
        <v>744</v>
      </c>
      <c r="R24" s="661">
        <v>39</v>
      </c>
      <c r="S24" s="587" t="s">
        <v>753</v>
      </c>
    </row>
    <row r="25" spans="1:19" ht="15.75" customHeight="1" x14ac:dyDescent="0.25">
      <c r="I25" s="49" t="s">
        <v>754</v>
      </c>
      <c r="N25" s="659" t="s">
        <v>753</v>
      </c>
      <c r="O25" s="660">
        <v>5</v>
      </c>
      <c r="P25" s="661">
        <v>16</v>
      </c>
      <c r="Q25" s="587" t="s">
        <v>755</v>
      </c>
      <c r="R25" s="661">
        <v>40</v>
      </c>
      <c r="S25" s="587" t="s">
        <v>756</v>
      </c>
    </row>
    <row r="26" spans="1:19" ht="15.75" customHeight="1" x14ac:dyDescent="0.25">
      <c r="A26" s="658" t="s">
        <v>757</v>
      </c>
      <c r="B26" s="658"/>
      <c r="C26" s="658"/>
      <c r="D26" s="658"/>
      <c r="N26" s="659" t="s">
        <v>756</v>
      </c>
      <c r="O26" s="660">
        <v>5</v>
      </c>
      <c r="P26" s="661">
        <v>17</v>
      </c>
      <c r="Q26" s="587" t="s">
        <v>758</v>
      </c>
      <c r="R26" s="661">
        <v>41</v>
      </c>
      <c r="S26" s="587" t="s">
        <v>759</v>
      </c>
    </row>
    <row r="27" spans="1:19" ht="15.75" customHeight="1" x14ac:dyDescent="0.25">
      <c r="A27" s="49" t="s">
        <v>760</v>
      </c>
      <c r="N27" s="659" t="s">
        <v>703</v>
      </c>
      <c r="O27" s="660">
        <v>4</v>
      </c>
      <c r="P27" s="661">
        <v>18</v>
      </c>
      <c r="Q27" s="587" t="s">
        <v>761</v>
      </c>
      <c r="R27" s="661">
        <v>42</v>
      </c>
      <c r="S27" s="587" t="s">
        <v>762</v>
      </c>
    </row>
    <row r="28" spans="1:19" ht="15.75" customHeight="1" x14ac:dyDescent="0.25">
      <c r="A28" s="49" t="s">
        <v>763</v>
      </c>
      <c r="N28" s="662" t="s">
        <v>686</v>
      </c>
      <c r="O28" s="660">
        <v>1</v>
      </c>
      <c r="P28" s="661">
        <v>19</v>
      </c>
      <c r="Q28" s="587" t="s">
        <v>764</v>
      </c>
      <c r="R28" s="661">
        <v>43</v>
      </c>
      <c r="S28" s="587" t="s">
        <v>765</v>
      </c>
    </row>
    <row r="29" spans="1:19" ht="15.75" customHeight="1" x14ac:dyDescent="0.25">
      <c r="A29" s="49" t="s">
        <v>334</v>
      </c>
      <c r="E29" s="658" t="s">
        <v>766</v>
      </c>
      <c r="N29" s="659" t="s">
        <v>759</v>
      </c>
      <c r="O29" s="660">
        <v>5</v>
      </c>
      <c r="P29" s="661">
        <v>20</v>
      </c>
      <c r="Q29" s="587" t="s">
        <v>767</v>
      </c>
      <c r="R29" s="661">
        <v>44</v>
      </c>
      <c r="S29" s="587" t="s">
        <v>768</v>
      </c>
    </row>
    <row r="30" spans="1:19" ht="15.75" customHeight="1" x14ac:dyDescent="0.25">
      <c r="A30" s="49" t="s">
        <v>769</v>
      </c>
      <c r="E30" s="49" t="s">
        <v>770</v>
      </c>
      <c r="N30" s="659" t="s">
        <v>688</v>
      </c>
      <c r="O30" s="660">
        <v>6</v>
      </c>
      <c r="P30" s="661">
        <v>21</v>
      </c>
      <c r="Q30" s="587" t="s">
        <v>771</v>
      </c>
    </row>
    <row r="31" spans="1:19" ht="15.75" customHeight="1" x14ac:dyDescent="0.25">
      <c r="A31" s="49" t="s">
        <v>772</v>
      </c>
      <c r="E31" s="49" t="s">
        <v>773</v>
      </c>
      <c r="N31" s="659" t="s">
        <v>691</v>
      </c>
      <c r="O31" s="660">
        <v>6</v>
      </c>
    </row>
    <row r="32" spans="1:19" ht="15.75" customHeight="1" x14ac:dyDescent="0.25">
      <c r="A32" s="49" t="s">
        <v>774</v>
      </c>
      <c r="E32" s="49" t="s">
        <v>775</v>
      </c>
      <c r="N32" s="659" t="s">
        <v>733</v>
      </c>
      <c r="O32" s="660">
        <v>2</v>
      </c>
    </row>
    <row r="33" spans="1:19" ht="15.75" customHeight="1" x14ac:dyDescent="0.25">
      <c r="E33" s="49" t="s">
        <v>776</v>
      </c>
      <c r="N33" s="659" t="s">
        <v>762</v>
      </c>
      <c r="O33" s="660">
        <v>5</v>
      </c>
    </row>
    <row r="34" spans="1:19" ht="15.75" customHeight="1" x14ac:dyDescent="0.25">
      <c r="A34" s="658" t="s">
        <v>777</v>
      </c>
      <c r="B34" s="658"/>
      <c r="C34" s="658"/>
      <c r="D34" s="658"/>
      <c r="N34" s="659" t="s">
        <v>709</v>
      </c>
      <c r="O34" s="660">
        <v>4</v>
      </c>
    </row>
    <row r="35" spans="1:19" ht="15.75" customHeight="1" x14ac:dyDescent="0.25">
      <c r="A35" s="49" t="s">
        <v>778</v>
      </c>
      <c r="N35" s="659" t="s">
        <v>696</v>
      </c>
      <c r="O35" s="660">
        <v>6</v>
      </c>
    </row>
    <row r="36" spans="1:19" ht="15.75" customHeight="1" x14ac:dyDescent="0.25">
      <c r="A36" s="49" t="s">
        <v>779</v>
      </c>
      <c r="N36" s="659" t="s">
        <v>735</v>
      </c>
      <c r="O36" s="660">
        <v>2</v>
      </c>
    </row>
    <row r="37" spans="1:19" ht="15.75" customHeight="1" x14ac:dyDescent="0.25">
      <c r="A37" s="49" t="s">
        <v>780</v>
      </c>
      <c r="N37" s="659" t="s">
        <v>700</v>
      </c>
      <c r="O37" s="660">
        <v>6</v>
      </c>
      <c r="Q37" s="658" t="s">
        <v>567</v>
      </c>
      <c r="R37" s="658"/>
      <c r="S37" s="658"/>
    </row>
    <row r="38" spans="1:19" ht="15.75" customHeight="1" x14ac:dyDescent="0.25">
      <c r="A38" s="49" t="s">
        <v>781</v>
      </c>
      <c r="F38" s="658" t="s">
        <v>782</v>
      </c>
      <c r="G38" s="658"/>
      <c r="H38" s="658"/>
      <c r="N38" s="662" t="s">
        <v>689</v>
      </c>
      <c r="O38" s="660">
        <v>1</v>
      </c>
      <c r="Q38" s="49" t="s">
        <v>570</v>
      </c>
    </row>
    <row r="39" spans="1:19" ht="15.75" customHeight="1" x14ac:dyDescent="0.25">
      <c r="A39" s="49" t="s">
        <v>783</v>
      </c>
      <c r="N39" s="659" t="s">
        <v>738</v>
      </c>
      <c r="O39" s="660">
        <v>2</v>
      </c>
      <c r="Q39" s="49" t="s">
        <v>554</v>
      </c>
    </row>
    <row r="40" spans="1:19" ht="15.75" customHeight="1" x14ac:dyDescent="0.25">
      <c r="A40" s="49" t="s">
        <v>784</v>
      </c>
      <c r="N40" s="659" t="s">
        <v>755</v>
      </c>
      <c r="O40" s="660">
        <v>3</v>
      </c>
      <c r="Q40" s="49" t="s">
        <v>572</v>
      </c>
    </row>
    <row r="41" spans="1:19" ht="15.75" customHeight="1" x14ac:dyDescent="0.25">
      <c r="A41" s="49" t="s">
        <v>785</v>
      </c>
      <c r="F41" s="49" t="s">
        <v>334</v>
      </c>
      <c r="N41" s="659" t="s">
        <v>704</v>
      </c>
      <c r="O41" s="660">
        <v>6</v>
      </c>
      <c r="Q41" s="49" t="s">
        <v>573</v>
      </c>
    </row>
    <row r="42" spans="1:19" ht="15.75" customHeight="1" x14ac:dyDescent="0.25">
      <c r="A42" s="49" t="s">
        <v>786</v>
      </c>
      <c r="F42" s="49" t="s">
        <v>341</v>
      </c>
      <c r="N42" s="659" t="s">
        <v>713</v>
      </c>
      <c r="O42" s="660">
        <v>4</v>
      </c>
    </row>
    <row r="43" spans="1:19" ht="15.75" customHeight="1" x14ac:dyDescent="0.25">
      <c r="F43" s="49" t="s">
        <v>343</v>
      </c>
      <c r="N43" s="659" t="s">
        <v>765</v>
      </c>
      <c r="O43" s="660">
        <v>5</v>
      </c>
      <c r="Q43" s="658" t="s">
        <v>787</v>
      </c>
      <c r="R43" s="658"/>
      <c r="S43" s="658"/>
    </row>
    <row r="44" spans="1:19" ht="15.75" customHeight="1" x14ac:dyDescent="0.25">
      <c r="A44" s="658" t="s">
        <v>788</v>
      </c>
      <c r="B44" s="658"/>
      <c r="C44" s="658"/>
      <c r="F44" s="49" t="s">
        <v>345</v>
      </c>
      <c r="N44" s="659" t="s">
        <v>710</v>
      </c>
      <c r="O44" s="660">
        <v>6</v>
      </c>
      <c r="Q44" s="49" t="s">
        <v>789</v>
      </c>
    </row>
    <row r="45" spans="1:19" ht="15.75" customHeight="1" x14ac:dyDescent="0.25">
      <c r="A45" s="49" t="s">
        <v>790</v>
      </c>
      <c r="F45" s="49" t="s">
        <v>347</v>
      </c>
      <c r="N45" s="659" t="s">
        <v>717</v>
      </c>
      <c r="O45" s="660">
        <v>4</v>
      </c>
      <c r="Q45" s="49" t="s">
        <v>791</v>
      </c>
    </row>
    <row r="46" spans="1:19" ht="15.75" customHeight="1" x14ac:dyDescent="0.25">
      <c r="A46" s="49" t="s">
        <v>792</v>
      </c>
      <c r="F46" s="49" t="s">
        <v>348</v>
      </c>
      <c r="N46" s="659" t="s">
        <v>793</v>
      </c>
      <c r="O46" s="660">
        <v>3</v>
      </c>
      <c r="Q46" s="49" t="s">
        <v>794</v>
      </c>
    </row>
    <row r="47" spans="1:19" ht="15.75" customHeight="1" x14ac:dyDescent="0.25">
      <c r="A47" s="49" t="s">
        <v>795</v>
      </c>
      <c r="F47" s="49" t="s">
        <v>349</v>
      </c>
      <c r="N47" s="659" t="s">
        <v>761</v>
      </c>
      <c r="O47" s="660">
        <v>3</v>
      </c>
      <c r="Q47" s="49" t="s">
        <v>796</v>
      </c>
    </row>
    <row r="48" spans="1:19" ht="15.75" customHeight="1" x14ac:dyDescent="0.25">
      <c r="A48" s="49" t="s">
        <v>797</v>
      </c>
      <c r="F48" s="49" t="s">
        <v>350</v>
      </c>
      <c r="N48" s="659" t="s">
        <v>714</v>
      </c>
      <c r="O48" s="660">
        <v>6</v>
      </c>
      <c r="Q48" s="49" t="s">
        <v>798</v>
      </c>
    </row>
    <row r="49" spans="1:17" ht="15.75" customHeight="1" x14ac:dyDescent="0.25">
      <c r="A49" s="49" t="s">
        <v>799</v>
      </c>
      <c r="F49" s="49" t="s">
        <v>351</v>
      </c>
      <c r="N49" s="659" t="s">
        <v>722</v>
      </c>
      <c r="O49" s="660">
        <v>4</v>
      </c>
      <c r="Q49" s="49" t="s">
        <v>800</v>
      </c>
    </row>
    <row r="50" spans="1:17" ht="15.75" customHeight="1" x14ac:dyDescent="0.25">
      <c r="F50" s="49" t="s">
        <v>352</v>
      </c>
      <c r="N50" s="659" t="s">
        <v>727</v>
      </c>
      <c r="O50" s="660">
        <v>4</v>
      </c>
      <c r="Q50" s="49" t="s">
        <v>801</v>
      </c>
    </row>
    <row r="51" spans="1:17" ht="15.75" customHeight="1" x14ac:dyDescent="0.25">
      <c r="F51" s="49" t="s">
        <v>353</v>
      </c>
      <c r="N51" s="659" t="s">
        <v>764</v>
      </c>
      <c r="O51" s="660">
        <v>3</v>
      </c>
      <c r="Q51" s="49" t="s">
        <v>802</v>
      </c>
    </row>
    <row r="52" spans="1:17" ht="15.75" customHeight="1" x14ac:dyDescent="0.25">
      <c r="N52" s="659" t="s">
        <v>730</v>
      </c>
      <c r="O52" s="660">
        <v>4</v>
      </c>
      <c r="Q52" s="49" t="s">
        <v>346</v>
      </c>
    </row>
    <row r="53" spans="1:17" ht="15.75" customHeight="1" x14ac:dyDescent="0.25">
      <c r="N53" s="659" t="s">
        <v>768</v>
      </c>
      <c r="O53" s="660">
        <v>5</v>
      </c>
    </row>
    <row r="54" spans="1:17" ht="15.75" customHeight="1" x14ac:dyDescent="0.25">
      <c r="N54" s="659" t="s">
        <v>718</v>
      </c>
      <c r="O54" s="660">
        <v>6</v>
      </c>
    </row>
    <row r="55" spans="1:17" ht="15.75" customHeight="1" x14ac:dyDescent="0.25">
      <c r="N55" s="662" t="s">
        <v>694</v>
      </c>
      <c r="O55" s="660">
        <v>1</v>
      </c>
    </row>
    <row r="56" spans="1:17" ht="15.75" customHeight="1" x14ac:dyDescent="0.25">
      <c r="N56" s="659" t="s">
        <v>767</v>
      </c>
      <c r="O56" s="660">
        <v>3</v>
      </c>
    </row>
    <row r="57" spans="1:17" ht="15.75" customHeight="1" x14ac:dyDescent="0.25">
      <c r="F57" s="664" t="s">
        <v>803</v>
      </c>
      <c r="G57" s="664"/>
      <c r="N57" s="659" t="s">
        <v>771</v>
      </c>
      <c r="O57" s="660">
        <v>3</v>
      </c>
    </row>
    <row r="58" spans="1:17" ht="15.75" customHeight="1" x14ac:dyDescent="0.25">
      <c r="F58" s="49" t="s">
        <v>804</v>
      </c>
      <c r="N58" s="659" t="s">
        <v>723</v>
      </c>
      <c r="O58" s="660">
        <v>6</v>
      </c>
    </row>
    <row r="59" spans="1:17" ht="15.75" customHeight="1" x14ac:dyDescent="0.25">
      <c r="B59" s="658" t="s">
        <v>805</v>
      </c>
      <c r="C59" s="658"/>
      <c r="F59" s="49" t="s">
        <v>806</v>
      </c>
    </row>
    <row r="60" spans="1:17" ht="15.75" customHeight="1" x14ac:dyDescent="0.25">
      <c r="B60" s="49" t="s">
        <v>807</v>
      </c>
      <c r="F60" s="49" t="s">
        <v>808</v>
      </c>
    </row>
    <row r="61" spans="1:17" ht="15.75" customHeight="1" x14ac:dyDescent="0.25">
      <c r="B61" s="49" t="s">
        <v>809</v>
      </c>
      <c r="F61" s="49" t="s">
        <v>810</v>
      </c>
    </row>
    <row r="62" spans="1:17" ht="15.75" customHeight="1" x14ac:dyDescent="0.25">
      <c r="B62" s="49" t="s">
        <v>811</v>
      </c>
      <c r="F62" s="49" t="s">
        <v>812</v>
      </c>
    </row>
    <row r="63" spans="1:17" ht="15.75" customHeight="1" x14ac:dyDescent="0.25">
      <c r="B63" s="49" t="s">
        <v>813</v>
      </c>
      <c r="F63" s="49" t="s">
        <v>814</v>
      </c>
    </row>
    <row r="64" spans="1:17" ht="15.75" customHeight="1" x14ac:dyDescent="0.25">
      <c r="F64" s="49" t="s">
        <v>815</v>
      </c>
    </row>
    <row r="65" spans="5:22" ht="15.75" customHeight="1" x14ac:dyDescent="0.25">
      <c r="F65" s="49" t="s">
        <v>816</v>
      </c>
      <c r="K65" s="658" t="s">
        <v>817</v>
      </c>
      <c r="L65" s="658"/>
      <c r="M65" s="658"/>
      <c r="N65" s="658"/>
      <c r="O65" s="658"/>
      <c r="S65" s="658" t="s">
        <v>818</v>
      </c>
      <c r="T65" s="658"/>
    </row>
    <row r="66" spans="5:22" ht="15.75" customHeight="1" x14ac:dyDescent="0.25">
      <c r="F66" s="49" t="s">
        <v>238</v>
      </c>
      <c r="S66" s="49" t="s">
        <v>819</v>
      </c>
    </row>
    <row r="67" spans="5:22" ht="15.75" customHeight="1" x14ac:dyDescent="0.25">
      <c r="K67" s="49" t="s">
        <v>820</v>
      </c>
      <c r="S67" s="49" t="s">
        <v>821</v>
      </c>
    </row>
    <row r="68" spans="5:22" ht="15.75" customHeight="1" x14ac:dyDescent="0.25">
      <c r="K68" s="49" t="s">
        <v>822</v>
      </c>
      <c r="S68" s="49" t="s">
        <v>742</v>
      </c>
    </row>
    <row r="69" spans="5:22" ht="15.75" customHeight="1" x14ac:dyDescent="0.25">
      <c r="K69" s="49" t="s">
        <v>823</v>
      </c>
      <c r="S69" s="49" t="s">
        <v>745</v>
      </c>
    </row>
    <row r="70" spans="5:22" ht="15.75" customHeight="1" x14ac:dyDescent="0.25">
      <c r="K70" s="49" t="s">
        <v>824</v>
      </c>
      <c r="S70" s="49" t="s">
        <v>741</v>
      </c>
    </row>
    <row r="71" spans="5:22" ht="15.75" customHeight="1" x14ac:dyDescent="0.25">
      <c r="K71" s="49" t="s">
        <v>825</v>
      </c>
      <c r="S71" s="49" t="s">
        <v>346</v>
      </c>
    </row>
    <row r="72" spans="5:22" ht="15.75" customHeight="1" x14ac:dyDescent="0.25">
      <c r="K72" s="49" t="s">
        <v>826</v>
      </c>
    </row>
    <row r="73" spans="5:22" ht="15.75" customHeight="1" x14ac:dyDescent="0.25">
      <c r="K73" s="49" t="s">
        <v>827</v>
      </c>
    </row>
    <row r="74" spans="5:22" ht="15.75" customHeight="1" x14ac:dyDescent="0.25">
      <c r="K74" s="49" t="s">
        <v>828</v>
      </c>
    </row>
    <row r="75" spans="5:22" ht="15.75" customHeight="1" x14ac:dyDescent="0.25">
      <c r="K75" s="49" t="s">
        <v>829</v>
      </c>
    </row>
    <row r="76" spans="5:22" ht="15.75" customHeight="1" x14ac:dyDescent="0.25"/>
    <row r="77" spans="5:22" ht="15.75" customHeight="1" x14ac:dyDescent="0.25">
      <c r="E77" s="658" t="s">
        <v>830</v>
      </c>
      <c r="F77" s="658"/>
      <c r="G77" s="658"/>
      <c r="H77" s="658"/>
    </row>
    <row r="78" spans="5:22" ht="15.75" customHeight="1" x14ac:dyDescent="0.25">
      <c r="E78" s="49" t="s">
        <v>831</v>
      </c>
      <c r="S78" s="658" t="s">
        <v>832</v>
      </c>
      <c r="T78" s="658"/>
      <c r="U78" s="658"/>
      <c r="V78" s="658"/>
    </row>
    <row r="79" spans="5:22" ht="15.75" customHeight="1" x14ac:dyDescent="0.25">
      <c r="E79" s="49" t="s">
        <v>833</v>
      </c>
      <c r="S79" s="49" t="s">
        <v>834</v>
      </c>
    </row>
    <row r="80" spans="5:22" ht="15.75" customHeight="1" x14ac:dyDescent="0.25">
      <c r="E80" s="49" t="s">
        <v>835</v>
      </c>
      <c r="S80" s="49" t="s">
        <v>836</v>
      </c>
    </row>
    <row r="81" spans="5:20" ht="15.75" customHeight="1" x14ac:dyDescent="0.25">
      <c r="E81" s="49" t="s">
        <v>837</v>
      </c>
      <c r="S81" s="49" t="s">
        <v>838</v>
      </c>
    </row>
    <row r="82" spans="5:20" ht="15.75" customHeight="1" x14ac:dyDescent="0.25">
      <c r="S82" s="49" t="s">
        <v>839</v>
      </c>
    </row>
    <row r="83" spans="5:20" ht="15.75" customHeight="1" x14ac:dyDescent="0.25">
      <c r="O83" s="49" t="s">
        <v>840</v>
      </c>
      <c r="S83" s="49" t="s">
        <v>841</v>
      </c>
    </row>
    <row r="84" spans="5:20" ht="15.75" customHeight="1" x14ac:dyDescent="0.25">
      <c r="E84" s="658" t="s">
        <v>842</v>
      </c>
      <c r="F84" s="658"/>
      <c r="G84" s="658"/>
      <c r="H84" s="658"/>
    </row>
    <row r="85" spans="5:20" ht="15.75" customHeight="1" x14ac:dyDescent="0.25">
      <c r="E85" s="49" t="s">
        <v>843</v>
      </c>
    </row>
    <row r="86" spans="5:20" ht="15.75" customHeight="1" x14ac:dyDescent="0.25">
      <c r="E86" s="49" t="s">
        <v>844</v>
      </c>
    </row>
    <row r="87" spans="5:20" ht="15.75" customHeight="1" x14ac:dyDescent="0.25">
      <c r="E87" s="49" t="s">
        <v>845</v>
      </c>
    </row>
    <row r="88" spans="5:20" ht="15.75" customHeight="1" x14ac:dyDescent="0.25">
      <c r="N88" s="665" t="s">
        <v>846</v>
      </c>
      <c r="R88" s="658" t="s">
        <v>847</v>
      </c>
      <c r="S88" s="658"/>
      <c r="T88" s="658"/>
    </row>
    <row r="89" spans="5:20" ht="15.75" customHeight="1" x14ac:dyDescent="0.25">
      <c r="N89" s="666" t="s">
        <v>376</v>
      </c>
      <c r="R89" s="587" t="s">
        <v>335</v>
      </c>
    </row>
    <row r="90" spans="5:20" ht="15.75" customHeight="1" x14ac:dyDescent="0.25">
      <c r="N90" s="666" t="s">
        <v>378</v>
      </c>
      <c r="R90" s="587" t="s">
        <v>342</v>
      </c>
    </row>
    <row r="91" spans="5:20" ht="15.75" customHeight="1" x14ac:dyDescent="0.25">
      <c r="N91" s="666" t="s">
        <v>381</v>
      </c>
      <c r="R91" s="587" t="s">
        <v>344</v>
      </c>
    </row>
    <row r="92" spans="5:20" ht="15.75" customHeight="1" x14ac:dyDescent="0.25">
      <c r="R92" s="587" t="s">
        <v>346</v>
      </c>
    </row>
    <row r="93" spans="5:20" ht="15.75" customHeight="1" x14ac:dyDescent="0.25"/>
    <row r="94" spans="5:20" ht="15.75" customHeight="1" x14ac:dyDescent="0.25"/>
    <row r="95" spans="5:20" ht="15.75" customHeight="1" x14ac:dyDescent="0.25"/>
    <row r="96" spans="5:20" ht="15.75" customHeight="1" x14ac:dyDescent="0.25"/>
    <row r="97" spans="1:20" ht="15.75" customHeight="1" x14ac:dyDescent="0.25"/>
    <row r="98" spans="1:20" ht="15.75" customHeight="1" x14ac:dyDescent="0.25">
      <c r="A98" s="49" t="s">
        <v>428</v>
      </c>
      <c r="G98" s="49" t="s">
        <v>848</v>
      </c>
      <c r="K98" s="49" t="s">
        <v>429</v>
      </c>
    </row>
    <row r="99" spans="1:20" ht="15.75" customHeight="1" x14ac:dyDescent="0.25">
      <c r="A99" s="49" t="s">
        <v>430</v>
      </c>
      <c r="G99" s="49" t="s">
        <v>849</v>
      </c>
      <c r="K99" s="49" t="s">
        <v>431</v>
      </c>
      <c r="P99" s="49" t="s">
        <v>354</v>
      </c>
      <c r="T99" s="49" t="s">
        <v>570</v>
      </c>
    </row>
    <row r="100" spans="1:20" ht="15.75" customHeight="1" x14ac:dyDescent="0.25">
      <c r="A100" s="49" t="s">
        <v>432</v>
      </c>
      <c r="G100" s="49" t="s">
        <v>850</v>
      </c>
      <c r="K100" s="49" t="s">
        <v>433</v>
      </c>
      <c r="P100" s="49" t="s">
        <v>355</v>
      </c>
      <c r="T100" s="49" t="s">
        <v>571</v>
      </c>
    </row>
    <row r="101" spans="1:20" ht="15.75" customHeight="1" x14ac:dyDescent="0.25">
      <c r="A101" s="49" t="s">
        <v>434</v>
      </c>
      <c r="G101" s="49" t="s">
        <v>851</v>
      </c>
      <c r="K101" s="49" t="s">
        <v>435</v>
      </c>
      <c r="P101" s="49" t="s">
        <v>852</v>
      </c>
      <c r="T101" s="49" t="s">
        <v>572</v>
      </c>
    </row>
    <row r="102" spans="1:20" ht="15.75" customHeight="1" x14ac:dyDescent="0.25">
      <c r="A102" s="49" t="s">
        <v>436</v>
      </c>
      <c r="G102" s="49" t="s">
        <v>853</v>
      </c>
      <c r="K102" s="49" t="s">
        <v>437</v>
      </c>
      <c r="P102" s="49" t="s">
        <v>357</v>
      </c>
      <c r="T102" s="49" t="s">
        <v>573</v>
      </c>
    </row>
    <row r="103" spans="1:20" ht="15.75" customHeight="1" x14ac:dyDescent="0.25">
      <c r="A103" s="49" t="s">
        <v>438</v>
      </c>
      <c r="G103" s="49" t="s">
        <v>853</v>
      </c>
      <c r="K103" s="49" t="s">
        <v>439</v>
      </c>
      <c r="P103" s="49" t="s">
        <v>358</v>
      </c>
    </row>
    <row r="104" spans="1:20" ht="15.75" customHeight="1" x14ac:dyDescent="0.25">
      <c r="A104" s="49" t="s">
        <v>346</v>
      </c>
      <c r="K104" s="49" t="s">
        <v>440</v>
      </c>
      <c r="P104" s="49" t="s">
        <v>359</v>
      </c>
    </row>
    <row r="105" spans="1:20" ht="15.75" customHeight="1" x14ac:dyDescent="0.25">
      <c r="P105" s="49" t="s">
        <v>360</v>
      </c>
    </row>
    <row r="106" spans="1:20" ht="15.75" customHeight="1" x14ac:dyDescent="0.25">
      <c r="G106" s="49" t="s">
        <v>848</v>
      </c>
      <c r="K106" s="667" t="s">
        <v>229</v>
      </c>
      <c r="L106" s="667"/>
      <c r="M106" s="667"/>
      <c r="N106" s="667"/>
      <c r="O106" s="667"/>
      <c r="P106" s="49" t="s">
        <v>361</v>
      </c>
      <c r="Q106" s="667"/>
      <c r="R106" s="667"/>
      <c r="S106" s="667"/>
    </row>
    <row r="107" spans="1:20" ht="15.75" customHeight="1" x14ac:dyDescent="0.25">
      <c r="A107" s="49" t="s">
        <v>854</v>
      </c>
      <c r="G107" s="49" t="s">
        <v>849</v>
      </c>
      <c r="K107" s="667" t="s">
        <v>231</v>
      </c>
      <c r="L107" s="667"/>
      <c r="M107" s="667"/>
      <c r="N107" s="667"/>
      <c r="O107" s="667"/>
      <c r="P107" s="49" t="s">
        <v>362</v>
      </c>
      <c r="Q107" s="667"/>
      <c r="R107" s="667"/>
      <c r="S107" s="667"/>
    </row>
    <row r="108" spans="1:20" ht="15.75" customHeight="1" x14ac:dyDescent="0.25">
      <c r="A108" s="49" t="s">
        <v>855</v>
      </c>
      <c r="G108" s="49" t="s">
        <v>850</v>
      </c>
      <c r="K108" s="667" t="s">
        <v>232</v>
      </c>
      <c r="L108" s="667"/>
      <c r="M108" s="667"/>
      <c r="N108" s="667"/>
      <c r="O108" s="667"/>
      <c r="P108" s="49" t="s">
        <v>856</v>
      </c>
      <c r="Q108" s="667"/>
      <c r="R108" s="667"/>
      <c r="S108" s="667"/>
    </row>
    <row r="109" spans="1:20" ht="15.75" customHeight="1" x14ac:dyDescent="0.25">
      <c r="A109" s="49" t="s">
        <v>857</v>
      </c>
      <c r="G109" s="49" t="s">
        <v>851</v>
      </c>
      <c r="K109" s="667" t="s">
        <v>233</v>
      </c>
      <c r="L109" s="667"/>
      <c r="M109" s="667"/>
      <c r="N109" s="667"/>
      <c r="O109" s="667"/>
      <c r="P109" s="49" t="s">
        <v>573</v>
      </c>
      <c r="Q109" s="667"/>
      <c r="R109" s="667"/>
      <c r="S109" s="667"/>
    </row>
    <row r="110" spans="1:20" ht="15.75" customHeight="1" x14ac:dyDescent="0.25">
      <c r="A110" s="49" t="s">
        <v>858</v>
      </c>
      <c r="G110" s="49" t="s">
        <v>853</v>
      </c>
      <c r="K110" s="667" t="s">
        <v>859</v>
      </c>
      <c r="L110" s="667"/>
      <c r="M110" s="667"/>
      <c r="N110" s="667"/>
      <c r="O110" s="667"/>
      <c r="P110" s="667"/>
      <c r="Q110" s="667"/>
      <c r="R110" s="667"/>
      <c r="S110" s="667"/>
    </row>
    <row r="111" spans="1:20" ht="15.75" customHeight="1" x14ac:dyDescent="0.25">
      <c r="A111" s="49" t="s">
        <v>860</v>
      </c>
      <c r="G111" s="49" t="s">
        <v>853</v>
      </c>
      <c r="K111" s="668" t="s">
        <v>235</v>
      </c>
      <c r="L111" s="668"/>
      <c r="M111" s="668"/>
      <c r="N111" s="668"/>
      <c r="O111" s="668"/>
      <c r="P111" s="668"/>
      <c r="Q111" s="668"/>
      <c r="R111" s="668"/>
      <c r="S111" s="668"/>
    </row>
    <row r="112" spans="1:20" ht="15.75" customHeight="1" x14ac:dyDescent="0.25">
      <c r="A112" s="49" t="s">
        <v>861</v>
      </c>
      <c r="K112" s="668" t="s">
        <v>862</v>
      </c>
      <c r="L112" s="668"/>
      <c r="M112" s="668"/>
      <c r="N112" s="668"/>
      <c r="O112" s="668"/>
      <c r="P112" s="49" t="s">
        <v>863</v>
      </c>
      <c r="Q112" s="668"/>
      <c r="R112" s="668"/>
      <c r="S112" s="668"/>
    </row>
    <row r="113" spans="1:19" ht="15.75" customHeight="1" x14ac:dyDescent="0.25">
      <c r="A113" s="49" t="s">
        <v>864</v>
      </c>
      <c r="K113" s="668" t="s">
        <v>237</v>
      </c>
      <c r="L113" s="668"/>
      <c r="M113" s="668"/>
      <c r="N113" s="668"/>
      <c r="O113" s="668"/>
      <c r="P113" s="49" t="s">
        <v>865</v>
      </c>
      <c r="Q113" s="668"/>
      <c r="R113" s="668"/>
      <c r="S113" s="668"/>
    </row>
    <row r="114" spans="1:19" ht="15.75" customHeight="1" x14ac:dyDescent="0.25">
      <c r="A114" s="49" t="s">
        <v>866</v>
      </c>
      <c r="K114" s="669" t="s">
        <v>238</v>
      </c>
      <c r="L114" s="669"/>
      <c r="M114" s="669"/>
      <c r="N114" s="669"/>
      <c r="O114" s="669"/>
      <c r="P114" s="49" t="s">
        <v>867</v>
      </c>
      <c r="Q114" s="669"/>
      <c r="R114" s="669"/>
      <c r="S114" s="669"/>
    </row>
    <row r="115" spans="1:19" ht="15.75" customHeight="1" x14ac:dyDescent="0.25">
      <c r="A115" s="49" t="s">
        <v>238</v>
      </c>
      <c r="G115" s="49" t="s">
        <v>804</v>
      </c>
      <c r="P115" s="49" t="s">
        <v>868</v>
      </c>
    </row>
    <row r="116" spans="1:19" ht="15.75" customHeight="1" x14ac:dyDescent="0.25">
      <c r="G116" s="49" t="s">
        <v>806</v>
      </c>
      <c r="P116" s="49" t="s">
        <v>869</v>
      </c>
    </row>
    <row r="117" spans="1:19" ht="15.75" customHeight="1" x14ac:dyDescent="0.25">
      <c r="G117" s="49" t="s">
        <v>808</v>
      </c>
      <c r="P117" s="49" t="s">
        <v>870</v>
      </c>
    </row>
    <row r="118" spans="1:19" ht="15.75" customHeight="1" x14ac:dyDescent="0.25">
      <c r="G118" s="49" t="s">
        <v>871</v>
      </c>
      <c r="P118" s="49" t="s">
        <v>872</v>
      </c>
    </row>
    <row r="119" spans="1:19" ht="15.75" customHeight="1" x14ac:dyDescent="0.25">
      <c r="G119" s="49" t="s">
        <v>812</v>
      </c>
      <c r="P119" s="49" t="s">
        <v>683</v>
      </c>
    </row>
    <row r="120" spans="1:19" ht="15.75" customHeight="1" x14ac:dyDescent="0.25">
      <c r="G120" s="49" t="s">
        <v>814</v>
      </c>
    </row>
    <row r="121" spans="1:19" ht="15.75" customHeight="1" x14ac:dyDescent="0.25">
      <c r="G121" s="49" t="s">
        <v>815</v>
      </c>
    </row>
    <row r="122" spans="1:19" ht="15.75" customHeight="1" x14ac:dyDescent="0.25">
      <c r="G122" s="49" t="s">
        <v>816</v>
      </c>
    </row>
    <row r="123" spans="1:19" ht="15.75" customHeight="1" x14ac:dyDescent="0.25">
      <c r="G123" s="49" t="s">
        <v>238</v>
      </c>
      <c r="P123" s="49" t="s">
        <v>111</v>
      </c>
    </row>
    <row r="124" spans="1:19" ht="15.75" customHeight="1" x14ac:dyDescent="0.25">
      <c r="K124" s="49" t="s">
        <v>429</v>
      </c>
      <c r="P124" s="49" t="s">
        <v>379</v>
      </c>
    </row>
    <row r="125" spans="1:19" ht="15.75" customHeight="1" x14ac:dyDescent="0.25">
      <c r="K125" s="49" t="s">
        <v>431</v>
      </c>
      <c r="P125" s="49" t="s">
        <v>382</v>
      </c>
    </row>
    <row r="126" spans="1:19" ht="15.75" customHeight="1" x14ac:dyDescent="0.25">
      <c r="K126" s="49" t="s">
        <v>433</v>
      </c>
      <c r="P126" s="49" t="s">
        <v>384</v>
      </c>
    </row>
    <row r="127" spans="1:19" ht="15.75" customHeight="1" x14ac:dyDescent="0.25">
      <c r="K127" s="49" t="s">
        <v>435</v>
      </c>
    </row>
    <row r="128" spans="1:19" ht="15.75" customHeight="1" x14ac:dyDescent="0.25">
      <c r="K128" s="49" t="s">
        <v>437</v>
      </c>
    </row>
    <row r="129" spans="1:16" ht="15.75" customHeight="1" x14ac:dyDescent="0.25">
      <c r="K129" s="49" t="s">
        <v>439</v>
      </c>
    </row>
    <row r="130" spans="1:16" ht="15.75" customHeight="1" x14ac:dyDescent="0.25">
      <c r="K130" s="49" t="s">
        <v>440</v>
      </c>
      <c r="P130" s="49" t="s">
        <v>377</v>
      </c>
    </row>
    <row r="131" spans="1:16" ht="15.75" customHeight="1" x14ac:dyDescent="0.25">
      <c r="P131" s="49" t="s">
        <v>380</v>
      </c>
    </row>
    <row r="132" spans="1:16" ht="15.75" customHeight="1" x14ac:dyDescent="0.25">
      <c r="E132" s="49" t="s">
        <v>129</v>
      </c>
      <c r="P132" s="49" t="s">
        <v>383</v>
      </c>
    </row>
    <row r="133" spans="1:16" ht="15.75" customHeight="1" x14ac:dyDescent="0.25">
      <c r="E133" s="49" t="s">
        <v>230</v>
      </c>
      <c r="P133" s="49" t="s">
        <v>385</v>
      </c>
    </row>
    <row r="134" spans="1:16" ht="15.75" customHeight="1" x14ac:dyDescent="0.25">
      <c r="E134" s="49" t="s">
        <v>873</v>
      </c>
      <c r="P134" s="49" t="s">
        <v>386</v>
      </c>
    </row>
    <row r="135" spans="1:16" ht="15.75" customHeight="1" x14ac:dyDescent="0.25">
      <c r="K135" s="49" t="s">
        <v>428</v>
      </c>
    </row>
    <row r="136" spans="1:16" ht="15" customHeight="1" x14ac:dyDescent="0.25">
      <c r="K136" s="49" t="s">
        <v>874</v>
      </c>
    </row>
    <row r="137" spans="1:16" ht="15" customHeight="1" x14ac:dyDescent="0.25">
      <c r="A137" s="587" t="s">
        <v>875</v>
      </c>
      <c r="K137" s="49" t="s">
        <v>876</v>
      </c>
    </row>
    <row r="138" spans="1:16" ht="15" customHeight="1" x14ac:dyDescent="0.25">
      <c r="A138" s="587" t="s">
        <v>827</v>
      </c>
      <c r="K138" s="49" t="s">
        <v>877</v>
      </c>
    </row>
    <row r="139" spans="1:16" ht="15" customHeight="1" x14ac:dyDescent="0.25">
      <c r="A139" s="587" t="s">
        <v>878</v>
      </c>
    </row>
    <row r="140" spans="1:16" ht="15.75" customHeight="1" x14ac:dyDescent="0.25">
      <c r="A140" s="587" t="s">
        <v>879</v>
      </c>
      <c r="F140" s="49" t="s">
        <v>880</v>
      </c>
    </row>
    <row r="141" spans="1:16" ht="15.75" customHeight="1" x14ac:dyDescent="0.25">
      <c r="F141" s="49" t="s">
        <v>584</v>
      </c>
    </row>
    <row r="142" spans="1:16" ht="15.75" customHeight="1" x14ac:dyDescent="0.25">
      <c r="F142" s="49" t="s">
        <v>881</v>
      </c>
    </row>
    <row r="143" spans="1:16" ht="15.75" customHeight="1" x14ac:dyDescent="0.25"/>
    <row r="144" spans="1:16" ht="15.75" customHeight="1" x14ac:dyDescent="0.25"/>
    <row r="145" spans="1:19" ht="15.75" customHeight="1" x14ac:dyDescent="0.25"/>
    <row r="146" spans="1:19" ht="15.75" customHeight="1" x14ac:dyDescent="0.25">
      <c r="G146" s="658" t="s">
        <v>882</v>
      </c>
      <c r="H146" s="658"/>
      <c r="I146" s="658"/>
      <c r="J146" s="658"/>
      <c r="K146" s="658"/>
      <c r="O146" s="658" t="s">
        <v>883</v>
      </c>
      <c r="P146" s="658"/>
      <c r="S146" s="49" t="s">
        <v>112</v>
      </c>
    </row>
    <row r="147" spans="1:19" ht="15.75" customHeight="1" x14ac:dyDescent="0.25">
      <c r="A147" s="670"/>
      <c r="B147" s="670"/>
      <c r="C147" s="670"/>
      <c r="D147" s="670"/>
      <c r="G147" s="49" t="s">
        <v>884</v>
      </c>
      <c r="O147" s="671" t="s">
        <v>625</v>
      </c>
      <c r="P147" s="672"/>
      <c r="S147" s="49" t="s">
        <v>230</v>
      </c>
    </row>
    <row r="148" spans="1:19" ht="15.75" customHeight="1" x14ac:dyDescent="0.25">
      <c r="A148" s="670"/>
      <c r="B148" s="670"/>
      <c r="C148" s="670"/>
      <c r="D148" s="670"/>
      <c r="G148" s="49" t="s">
        <v>885</v>
      </c>
      <c r="O148" s="671" t="s">
        <v>626</v>
      </c>
      <c r="P148" s="672"/>
      <c r="S148" s="49" t="s">
        <v>886</v>
      </c>
    </row>
    <row r="149" spans="1:19" ht="15.75" customHeight="1" x14ac:dyDescent="0.25">
      <c r="A149" s="670"/>
      <c r="B149" s="670"/>
      <c r="C149" s="670"/>
      <c r="D149" s="670"/>
      <c r="G149" s="49" t="s">
        <v>887</v>
      </c>
      <c r="O149" s="671" t="s">
        <v>887</v>
      </c>
      <c r="P149" s="672"/>
      <c r="S149" s="49" t="s">
        <v>888</v>
      </c>
    </row>
    <row r="150" spans="1:19" ht="15" customHeight="1" x14ac:dyDescent="0.25">
      <c r="A150" s="670"/>
      <c r="B150" s="670"/>
      <c r="C150" s="670"/>
      <c r="D150" s="670"/>
      <c r="G150" s="49" t="s">
        <v>889</v>
      </c>
      <c r="O150" s="671" t="s">
        <v>889</v>
      </c>
      <c r="P150" s="672"/>
    </row>
    <row r="151" spans="1:19" ht="15.75" customHeight="1" x14ac:dyDescent="0.25">
      <c r="A151" s="670"/>
      <c r="B151" s="670"/>
      <c r="C151" s="670"/>
      <c r="D151" s="670"/>
    </row>
    <row r="152" spans="1:19" ht="15.75" customHeight="1" x14ac:dyDescent="0.25">
      <c r="A152" s="670"/>
      <c r="B152" s="670"/>
      <c r="C152" s="670"/>
      <c r="D152" s="670"/>
    </row>
    <row r="153" spans="1:19" ht="15.75" customHeight="1" x14ac:dyDescent="0.25">
      <c r="G153" s="658" t="s">
        <v>890</v>
      </c>
      <c r="H153" s="658"/>
      <c r="I153" s="658"/>
      <c r="J153" s="658"/>
      <c r="K153" s="658"/>
    </row>
    <row r="154" spans="1:19" ht="15.75" customHeight="1" x14ac:dyDescent="0.25">
      <c r="G154" s="49" t="s">
        <v>614</v>
      </c>
      <c r="O154" s="49" t="s">
        <v>891</v>
      </c>
      <c r="Q154" s="49" t="s">
        <v>891</v>
      </c>
    </row>
    <row r="155" spans="1:19" ht="15.75" customHeight="1" x14ac:dyDescent="0.25">
      <c r="G155" s="49" t="s">
        <v>892</v>
      </c>
      <c r="O155" s="49" t="s">
        <v>893</v>
      </c>
      <c r="Q155" s="49" t="s">
        <v>894</v>
      </c>
    </row>
    <row r="156" spans="1:19" ht="15.75" customHeight="1" x14ac:dyDescent="0.25">
      <c r="G156" s="49" t="s">
        <v>895</v>
      </c>
      <c r="O156" s="49" t="s">
        <v>896</v>
      </c>
      <c r="Q156" s="49" t="s">
        <v>897</v>
      </c>
    </row>
    <row r="157" spans="1:19" ht="15.75" customHeight="1" x14ac:dyDescent="0.25">
      <c r="G157" s="49" t="s">
        <v>898</v>
      </c>
    </row>
    <row r="158" spans="1:19" ht="15.75" customHeight="1" x14ac:dyDescent="0.25">
      <c r="G158" s="49" t="s">
        <v>616</v>
      </c>
    </row>
    <row r="159" spans="1:19" ht="15.75" customHeight="1" x14ac:dyDescent="0.25">
      <c r="G159" s="49" t="s">
        <v>617</v>
      </c>
    </row>
    <row r="160" spans="1:19" ht="15.75" customHeight="1" x14ac:dyDescent="0.25">
      <c r="G160" s="49" t="s">
        <v>887</v>
      </c>
    </row>
    <row r="161" spans="7:8" ht="15.75" customHeight="1" x14ac:dyDescent="0.25"/>
    <row r="162" spans="7:8" ht="15.75" customHeight="1" x14ac:dyDescent="0.25"/>
    <row r="163" spans="7:8" ht="15.75" customHeight="1" x14ac:dyDescent="0.25">
      <c r="G163" s="49" t="s">
        <v>899</v>
      </c>
    </row>
    <row r="164" spans="7:8" ht="15.75" customHeight="1" x14ac:dyDescent="0.25">
      <c r="G164" s="49" t="s">
        <v>900</v>
      </c>
    </row>
    <row r="165" spans="7:8" ht="15.75" customHeight="1" x14ac:dyDescent="0.25">
      <c r="G165" s="49" t="s">
        <v>901</v>
      </c>
    </row>
    <row r="166" spans="7:8" ht="15.75" customHeight="1" x14ac:dyDescent="0.25">
      <c r="G166" s="49" t="s">
        <v>902</v>
      </c>
    </row>
    <row r="167" spans="7:8" ht="15.75" customHeight="1" x14ac:dyDescent="0.25"/>
    <row r="168" spans="7:8" ht="15.75" customHeight="1" x14ac:dyDescent="0.25"/>
    <row r="169" spans="7:8" ht="15.75" customHeight="1" x14ac:dyDescent="0.25"/>
    <row r="170" spans="7:8" ht="15.75" customHeight="1" x14ac:dyDescent="0.25">
      <c r="G170" s="673" t="s">
        <v>202</v>
      </c>
      <c r="H170" s="673"/>
    </row>
    <row r="171" spans="7:8" ht="15.75" customHeight="1" x14ac:dyDescent="0.25"/>
    <row r="172" spans="7:8" ht="15.75" customHeight="1" x14ac:dyDescent="0.25">
      <c r="G172" s="49" t="s">
        <v>903</v>
      </c>
    </row>
    <row r="173" spans="7:8" ht="15.75" customHeight="1" x14ac:dyDescent="0.25">
      <c r="G173" s="49" t="s">
        <v>904</v>
      </c>
    </row>
    <row r="174" spans="7:8" ht="15.75" customHeight="1" x14ac:dyDescent="0.25">
      <c r="G174" s="49" t="s">
        <v>905</v>
      </c>
    </row>
    <row r="175" spans="7:8" ht="15.75" customHeight="1" x14ac:dyDescent="0.25">
      <c r="G175" s="49" t="s">
        <v>906</v>
      </c>
    </row>
    <row r="176" spans="7:8" ht="15.75" customHeight="1" x14ac:dyDescent="0.25"/>
    <row r="177" spans="8:8" ht="15.75" customHeight="1" x14ac:dyDescent="0.25"/>
    <row r="178" spans="8:8" ht="15.75" customHeight="1" x14ac:dyDescent="0.25"/>
    <row r="179" spans="8:8" ht="15.75" customHeight="1" x14ac:dyDescent="0.25"/>
    <row r="180" spans="8:8" ht="15.75" customHeight="1" x14ac:dyDescent="0.25">
      <c r="H180" s="49" t="s">
        <v>578</v>
      </c>
    </row>
    <row r="181" spans="8:8" ht="15.75" customHeight="1" x14ac:dyDescent="0.25"/>
    <row r="182" spans="8:8" ht="15.75" customHeight="1" x14ac:dyDescent="0.25">
      <c r="H182" s="49" t="s">
        <v>582</v>
      </c>
    </row>
    <row r="183" spans="8:8" ht="15.75" customHeight="1" x14ac:dyDescent="0.25">
      <c r="H183" s="49" t="s">
        <v>580</v>
      </c>
    </row>
    <row r="184" spans="8:8" ht="15.75" customHeight="1" x14ac:dyDescent="0.25">
      <c r="H184" s="49" t="s">
        <v>579</v>
      </c>
    </row>
    <row r="185" spans="8:8" ht="15.75" customHeight="1" x14ac:dyDescent="0.25">
      <c r="H185" s="49" t="s">
        <v>907</v>
      </c>
    </row>
    <row r="186" spans="8:8" ht="15.75" customHeight="1" x14ac:dyDescent="0.25">
      <c r="H186" s="49" t="s">
        <v>908</v>
      </c>
    </row>
    <row r="187" spans="8:8" ht="15.75" customHeight="1" x14ac:dyDescent="0.25">
      <c r="H187" s="49" t="s">
        <v>581</v>
      </c>
    </row>
    <row r="188" spans="8:8" ht="15.75" customHeight="1" x14ac:dyDescent="0.25">
      <c r="H188" s="49" t="s">
        <v>583</v>
      </c>
    </row>
    <row r="189" spans="8:8" ht="15.75" customHeight="1" x14ac:dyDescent="0.25"/>
    <row r="190" spans="8:8" ht="15.75" customHeight="1" x14ac:dyDescent="0.25"/>
    <row r="191" spans="8:8" ht="15.75" customHeight="1" x14ac:dyDescent="0.25"/>
    <row r="192" spans="8:8" ht="15.75" customHeight="1" x14ac:dyDescent="0.25"/>
    <row r="193" spans="8:20" ht="15.75" customHeight="1" x14ac:dyDescent="0.25">
      <c r="H193" s="658" t="s">
        <v>665</v>
      </c>
      <c r="K193" s="976" t="s">
        <v>909</v>
      </c>
      <c r="L193" s="698"/>
      <c r="M193" s="699"/>
      <c r="T193" s="665" t="s">
        <v>846</v>
      </c>
    </row>
    <row r="194" spans="8:20" ht="15.75" customHeight="1" x14ac:dyDescent="0.25">
      <c r="H194" s="587">
        <v>2020</v>
      </c>
      <c r="K194" s="674" t="s">
        <v>534</v>
      </c>
      <c r="L194" s="675"/>
      <c r="M194" s="676"/>
      <c r="O194" s="669" t="s">
        <v>910</v>
      </c>
      <c r="P194" s="669"/>
      <c r="T194" s="666" t="s">
        <v>376</v>
      </c>
    </row>
    <row r="195" spans="8:20" ht="15.75" customHeight="1" x14ac:dyDescent="0.25">
      <c r="H195" s="587">
        <v>2021</v>
      </c>
      <c r="K195" s="674" t="s">
        <v>535</v>
      </c>
      <c r="L195" s="675"/>
      <c r="M195" s="676"/>
      <c r="O195" s="677" t="s">
        <v>11</v>
      </c>
      <c r="P195" s="669"/>
      <c r="T195" s="666" t="s">
        <v>378</v>
      </c>
    </row>
    <row r="196" spans="8:20" ht="15.75" customHeight="1" x14ac:dyDescent="0.25">
      <c r="H196" s="587">
        <v>2022</v>
      </c>
      <c r="K196" s="674" t="s">
        <v>536</v>
      </c>
      <c r="L196" s="675"/>
      <c r="M196" s="676"/>
      <c r="O196" s="677" t="s">
        <v>911</v>
      </c>
      <c r="P196" s="669"/>
      <c r="T196" s="666" t="s">
        <v>381</v>
      </c>
    </row>
    <row r="197" spans="8:20" ht="15.75" customHeight="1" x14ac:dyDescent="0.25">
      <c r="H197" s="587">
        <v>2023</v>
      </c>
      <c r="K197" s="674" t="s">
        <v>537</v>
      </c>
      <c r="L197" s="675"/>
      <c r="M197" s="676"/>
      <c r="O197" s="677" t="s">
        <v>912</v>
      </c>
      <c r="P197" s="669"/>
    </row>
    <row r="198" spans="8:20" ht="15.75" customHeight="1" x14ac:dyDescent="0.25">
      <c r="H198" s="587">
        <v>2024</v>
      </c>
      <c r="K198" s="674" t="s">
        <v>538</v>
      </c>
      <c r="L198" s="675"/>
      <c r="M198" s="676"/>
      <c r="O198" s="677" t="s">
        <v>913</v>
      </c>
      <c r="P198" s="669"/>
    </row>
    <row r="199" spans="8:20" ht="15.75" customHeight="1" x14ac:dyDescent="0.25">
      <c r="H199" s="587">
        <v>2025</v>
      </c>
      <c r="K199" s="674" t="s">
        <v>539</v>
      </c>
      <c r="L199" s="675"/>
      <c r="M199" s="676"/>
      <c r="O199" s="677" t="s">
        <v>914</v>
      </c>
      <c r="P199" s="669"/>
    </row>
    <row r="200" spans="8:20" ht="15.75" customHeight="1" x14ac:dyDescent="0.25">
      <c r="H200" s="587">
        <v>2026</v>
      </c>
      <c r="K200" s="674" t="s">
        <v>540</v>
      </c>
      <c r="L200" s="675"/>
      <c r="M200" s="676"/>
      <c r="O200" s="677" t="s">
        <v>915</v>
      </c>
      <c r="P200" s="669"/>
    </row>
    <row r="201" spans="8:20" ht="15.75" customHeight="1" x14ac:dyDescent="0.25">
      <c r="H201" s="587">
        <v>2027</v>
      </c>
      <c r="K201" s="674" t="s">
        <v>541</v>
      </c>
      <c r="L201" s="675"/>
      <c r="M201" s="676"/>
      <c r="O201" s="677" t="s">
        <v>916</v>
      </c>
      <c r="P201" s="669"/>
    </row>
    <row r="202" spans="8:20" ht="15.75" customHeight="1" x14ac:dyDescent="0.25">
      <c r="H202" s="587">
        <v>2028</v>
      </c>
      <c r="K202" s="674" t="s">
        <v>238</v>
      </c>
      <c r="L202" s="675"/>
      <c r="M202" s="676"/>
      <c r="O202" s="677" t="s">
        <v>917</v>
      </c>
      <c r="P202" s="669"/>
    </row>
    <row r="203" spans="8:20" ht="15.75" customHeight="1" x14ac:dyDescent="0.25">
      <c r="H203" s="587">
        <v>2029</v>
      </c>
    </row>
    <row r="204" spans="8:20" ht="15.75" customHeight="1" x14ac:dyDescent="0.25">
      <c r="H204" s="587">
        <v>2030</v>
      </c>
    </row>
    <row r="205" spans="8:20" ht="15.75" customHeight="1" x14ac:dyDescent="0.25"/>
    <row r="206" spans="8:20" ht="15.75" customHeight="1" x14ac:dyDescent="0.25"/>
    <row r="207" spans="8:20" ht="15.75" customHeight="1" x14ac:dyDescent="0.25"/>
    <row r="208" spans="8:20"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K193:M193"/>
  </mergeCells>
  <pageMargins left="0.7" right="0.7" top="0.75" bottom="0.75" header="0" footer="0"/>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833C0B"/>
  </sheetPr>
  <dimension ref="A1:EI1000"/>
  <sheetViews>
    <sheetView workbookViewId="0"/>
  </sheetViews>
  <sheetFormatPr defaultColWidth="14.42578125" defaultRowHeight="15" customHeight="1" x14ac:dyDescent="0.25"/>
  <cols>
    <col min="1" max="1" width="5.28515625" customWidth="1"/>
    <col min="2" max="2" width="13.85546875" customWidth="1"/>
    <col min="3" max="3" width="15.28515625" customWidth="1"/>
    <col min="4" max="4" width="12.42578125" customWidth="1"/>
    <col min="5" max="5" width="12.7109375" customWidth="1"/>
    <col min="6" max="6" width="12.42578125" customWidth="1"/>
    <col min="7" max="7" width="12.28515625" customWidth="1"/>
    <col min="8" max="8" width="12.42578125" customWidth="1"/>
    <col min="9" max="9" width="9.7109375" customWidth="1"/>
    <col min="10" max="10" width="11.42578125" customWidth="1"/>
    <col min="11" max="11" width="12.140625" customWidth="1"/>
    <col min="12" max="12" width="12.42578125" customWidth="1"/>
    <col min="13" max="13" width="15.140625" customWidth="1"/>
    <col min="14" max="14" width="13" customWidth="1"/>
    <col min="15" max="15" width="13.42578125" customWidth="1"/>
    <col min="16" max="139" width="8.7109375" customWidth="1"/>
  </cols>
  <sheetData>
    <row r="1" spans="1:139" ht="60" customHeight="1" x14ac:dyDescent="0.25">
      <c r="A1" s="678" t="s">
        <v>27</v>
      </c>
      <c r="B1" s="986" t="s">
        <v>918</v>
      </c>
      <c r="C1" s="699"/>
      <c r="D1" s="987" t="s">
        <v>919</v>
      </c>
      <c r="E1" s="699"/>
      <c r="F1" s="985" t="s">
        <v>920</v>
      </c>
      <c r="G1" s="699"/>
      <c r="H1" s="988" t="s">
        <v>427</v>
      </c>
      <c r="I1" s="698"/>
      <c r="J1" s="699"/>
      <c r="K1" s="989" t="s">
        <v>921</v>
      </c>
      <c r="L1" s="714"/>
      <c r="M1" s="985" t="s">
        <v>922</v>
      </c>
      <c r="N1" s="699"/>
      <c r="O1" s="982" t="s">
        <v>923</v>
      </c>
      <c r="P1" s="699"/>
      <c r="Q1" s="990" t="s">
        <v>924</v>
      </c>
      <c r="R1" s="699"/>
      <c r="S1" s="991" t="s">
        <v>925</v>
      </c>
      <c r="T1" s="698"/>
      <c r="U1" s="699"/>
      <c r="V1" s="992" t="s">
        <v>926</v>
      </c>
      <c r="W1" s="699"/>
      <c r="X1" s="993" t="s">
        <v>400</v>
      </c>
      <c r="Y1" s="698"/>
      <c r="Z1" s="698"/>
      <c r="AA1" s="699"/>
      <c r="AB1" s="994" t="s">
        <v>401</v>
      </c>
      <c r="AC1" s="714"/>
      <c r="AD1" s="990" t="s">
        <v>927</v>
      </c>
      <c r="AE1" s="698"/>
      <c r="AF1" s="699"/>
      <c r="AG1" s="995" t="s">
        <v>928</v>
      </c>
      <c r="AH1" s="698"/>
      <c r="AI1" s="699"/>
      <c r="AJ1" s="994" t="s">
        <v>929</v>
      </c>
      <c r="AK1" s="698"/>
      <c r="AL1" s="714"/>
      <c r="AM1" s="994" t="s">
        <v>407</v>
      </c>
      <c r="AN1" s="714"/>
      <c r="AO1" s="679" t="s">
        <v>930</v>
      </c>
      <c r="AP1" s="996" t="s">
        <v>931</v>
      </c>
      <c r="AQ1" s="699"/>
      <c r="AR1" s="997" t="s">
        <v>200</v>
      </c>
      <c r="AS1" s="699"/>
      <c r="AT1" s="998" t="s">
        <v>932</v>
      </c>
      <c r="AU1" s="699"/>
      <c r="AV1" s="999" t="s">
        <v>933</v>
      </c>
      <c r="AW1" s="699"/>
      <c r="AX1" s="1000" t="s">
        <v>934</v>
      </c>
      <c r="AY1" s="706"/>
      <c r="AZ1" s="1001" t="s">
        <v>935</v>
      </c>
      <c r="BA1" s="706"/>
      <c r="BB1" s="1002" t="s">
        <v>936</v>
      </c>
      <c r="BC1" s="706"/>
      <c r="BD1" s="997" t="s">
        <v>937</v>
      </c>
      <c r="BE1" s="698"/>
      <c r="BF1" s="699"/>
      <c r="BG1" s="984" t="s">
        <v>938</v>
      </c>
      <c r="BH1" s="698"/>
      <c r="BI1" s="699"/>
      <c r="BJ1" s="997" t="s">
        <v>939</v>
      </c>
      <c r="BK1" s="698"/>
      <c r="BL1" s="699"/>
      <c r="BM1" s="1003" t="s">
        <v>216</v>
      </c>
      <c r="BN1" s="698"/>
      <c r="BO1" s="699"/>
      <c r="BP1" s="1004" t="s">
        <v>940</v>
      </c>
      <c r="BQ1" s="698"/>
      <c r="BR1" s="698"/>
      <c r="BS1" s="699"/>
      <c r="BT1" s="1005" t="s">
        <v>941</v>
      </c>
      <c r="BU1" s="698"/>
      <c r="BV1" s="698"/>
      <c r="BW1" s="699"/>
      <c r="BX1" s="1006" t="s">
        <v>241</v>
      </c>
      <c r="BY1" s="699"/>
      <c r="BZ1" s="1007" t="s">
        <v>942</v>
      </c>
      <c r="CA1" s="699"/>
      <c r="CB1" s="981" t="s">
        <v>243</v>
      </c>
      <c r="CC1" s="699"/>
      <c r="CD1" s="980" t="s">
        <v>244</v>
      </c>
      <c r="CE1" s="699"/>
      <c r="CF1" s="981" t="s">
        <v>943</v>
      </c>
      <c r="CG1" s="699"/>
      <c r="CH1" s="1008" t="s">
        <v>944</v>
      </c>
      <c r="CI1" s="699"/>
      <c r="CJ1" s="994" t="s">
        <v>248</v>
      </c>
      <c r="CK1" s="699"/>
      <c r="CL1" s="990" t="s">
        <v>249</v>
      </c>
      <c r="CM1" s="699"/>
      <c r="CN1" s="994" t="s">
        <v>945</v>
      </c>
      <c r="CO1" s="699"/>
      <c r="CP1" s="1007" t="s">
        <v>946</v>
      </c>
      <c r="CQ1" s="699"/>
      <c r="CR1" s="981" t="s">
        <v>254</v>
      </c>
      <c r="CS1" s="699"/>
      <c r="CT1" s="980" t="s">
        <v>255</v>
      </c>
      <c r="CU1" s="699"/>
      <c r="CV1" s="981" t="s">
        <v>947</v>
      </c>
      <c r="CW1" s="699"/>
      <c r="CX1" s="1011" t="s">
        <v>948</v>
      </c>
      <c r="CY1" s="699"/>
      <c r="CZ1" s="994" t="s">
        <v>260</v>
      </c>
      <c r="DA1" s="699"/>
      <c r="DB1" s="990" t="s">
        <v>261</v>
      </c>
      <c r="DC1" s="699"/>
      <c r="DD1" s="994" t="s">
        <v>949</v>
      </c>
      <c r="DE1" s="699"/>
      <c r="DF1" s="1009" t="s">
        <v>483</v>
      </c>
      <c r="DG1" s="699"/>
      <c r="DH1" s="1010" t="s">
        <v>950</v>
      </c>
      <c r="DI1" s="699"/>
      <c r="DJ1" s="981" t="s">
        <v>265</v>
      </c>
      <c r="DK1" s="699"/>
      <c r="DL1" s="980" t="s">
        <v>266</v>
      </c>
      <c r="DM1" s="699"/>
      <c r="DN1" s="981" t="s">
        <v>951</v>
      </c>
      <c r="DO1" s="699"/>
      <c r="DP1" s="982" t="s">
        <v>952</v>
      </c>
      <c r="DQ1" s="699"/>
      <c r="DR1" s="983" t="s">
        <v>269</v>
      </c>
      <c r="DS1" s="699"/>
      <c r="DT1" s="984" t="s">
        <v>270</v>
      </c>
      <c r="DU1" s="699"/>
      <c r="DV1" s="982" t="s">
        <v>271</v>
      </c>
      <c r="DW1" s="699"/>
      <c r="DX1" s="984" t="s">
        <v>272</v>
      </c>
      <c r="DY1" s="699"/>
      <c r="DZ1" s="977" t="s">
        <v>274</v>
      </c>
      <c r="EA1" s="714"/>
      <c r="EB1" s="978" t="s">
        <v>275</v>
      </c>
      <c r="EC1" s="699"/>
      <c r="ED1" s="979" t="s">
        <v>340</v>
      </c>
      <c r="EE1" s="708"/>
      <c r="EF1" s="708"/>
      <c r="EG1" s="708"/>
      <c r="EH1" s="708"/>
      <c r="EI1" s="709"/>
    </row>
    <row r="2" spans="1:139" ht="15.75" x14ac:dyDescent="0.25">
      <c r="A2" s="785" t="str">
        <f>'BASE GRANTEE INFO &amp; UPDATES'!A1</f>
        <v>WV Bureau For Behavioral Health - Harm Reduction 2025</v>
      </c>
      <c r="B2" s="705"/>
      <c r="C2" s="705"/>
      <c r="D2" s="705"/>
      <c r="E2" s="705"/>
      <c r="F2" s="705"/>
      <c r="G2" s="705"/>
      <c r="H2" s="705"/>
      <c r="I2" s="705"/>
      <c r="J2" s="705"/>
      <c r="K2" s="705"/>
      <c r="L2" s="705"/>
      <c r="M2" s="705"/>
      <c r="N2" s="705"/>
      <c r="O2" s="706"/>
    </row>
    <row r="3" spans="1:139" ht="15.75" x14ac:dyDescent="0.25">
      <c r="A3" s="786">
        <f>'BASE GRANTEE INFO &amp; UPDATES'!A2</f>
        <v>0</v>
      </c>
      <c r="B3" s="708"/>
      <c r="C3" s="708"/>
      <c r="D3" s="708"/>
      <c r="E3" s="708"/>
      <c r="F3" s="708"/>
      <c r="G3" s="708"/>
      <c r="H3" s="708"/>
      <c r="I3" s="708"/>
      <c r="J3" s="708"/>
      <c r="K3" s="708"/>
      <c r="L3" s="708"/>
      <c r="M3" s="708"/>
      <c r="N3" s="708"/>
      <c r="O3" s="778"/>
    </row>
    <row r="4" spans="1:139" ht="15.75" x14ac:dyDescent="0.25">
      <c r="A4" s="826"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1"/>
      <c r="M4" s="711"/>
      <c r="N4" s="711"/>
      <c r="O4" s="712"/>
    </row>
    <row r="5" spans="1:139" ht="18.75" x14ac:dyDescent="0.25">
      <c r="A5" s="835" t="s">
        <v>953</v>
      </c>
      <c r="B5" s="708"/>
      <c r="C5" s="708"/>
      <c r="D5" s="708"/>
      <c r="E5" s="708"/>
      <c r="F5" s="708"/>
      <c r="G5" s="708"/>
      <c r="H5" s="708"/>
      <c r="I5" s="708"/>
      <c r="J5" s="708"/>
      <c r="K5" s="708"/>
      <c r="L5" s="708"/>
      <c r="M5" s="708"/>
      <c r="N5" s="708"/>
      <c r="O5" s="709"/>
    </row>
    <row r="6" spans="1:139" x14ac:dyDescent="0.25">
      <c r="A6" s="790" t="s">
        <v>954</v>
      </c>
      <c r="B6" s="698"/>
      <c r="C6" s="698"/>
      <c r="D6" s="699"/>
      <c r="E6" s="794" t="str">
        <f>'BASE GRANTEE INFO &amp; UPDATES'!E5</f>
        <v>Harm Reduction Program</v>
      </c>
      <c r="F6" s="698"/>
      <c r="G6" s="698"/>
      <c r="H6" s="698"/>
      <c r="I6" s="699"/>
      <c r="J6" s="795" t="s">
        <v>0</v>
      </c>
      <c r="K6" s="698"/>
      <c r="L6" s="699"/>
      <c r="M6" s="836">
        <f>'BASE GRANTEE INFO &amp; UPDATES'!M5</f>
        <v>0</v>
      </c>
      <c r="N6" s="698"/>
      <c r="O6" s="699"/>
    </row>
    <row r="7" spans="1:139" x14ac:dyDescent="0.25">
      <c r="A7" s="790" t="s">
        <v>955</v>
      </c>
      <c r="B7" s="698"/>
      <c r="C7" s="698"/>
      <c r="D7" s="699"/>
      <c r="E7" s="797">
        <f>'BASE GRANTEE INFO &amp; UPDATES'!E6</f>
        <v>0</v>
      </c>
      <c r="F7" s="698"/>
      <c r="G7" s="698"/>
      <c r="H7" s="698"/>
      <c r="I7" s="699"/>
      <c r="J7" s="795" t="s">
        <v>1</v>
      </c>
      <c r="K7" s="698"/>
      <c r="L7" s="699"/>
      <c r="M7" s="836">
        <f>'BASE GRANTEE INFO &amp; UPDATES'!M6</f>
        <v>0</v>
      </c>
      <c r="N7" s="698"/>
      <c r="O7" s="699"/>
    </row>
    <row r="8" spans="1:139" ht="15" customHeight="1" x14ac:dyDescent="0.25">
      <c r="A8" s="789" t="s">
        <v>2</v>
      </c>
      <c r="B8" s="766"/>
      <c r="C8" s="766"/>
      <c r="D8" s="767"/>
      <c r="E8" s="798">
        <f>'BASE GRANTEE INFO &amp; UPDATES'!E7</f>
        <v>0</v>
      </c>
      <c r="F8" s="766"/>
      <c r="G8" s="766"/>
      <c r="H8" s="766"/>
      <c r="I8" s="767"/>
      <c r="J8" s="795" t="s">
        <v>956</v>
      </c>
      <c r="K8" s="698"/>
      <c r="L8" s="699"/>
      <c r="M8" s="836">
        <f>'BASE GRANTEE INFO &amp; UPDATES'!M7</f>
        <v>0</v>
      </c>
      <c r="N8" s="698"/>
      <c r="O8" s="699"/>
    </row>
    <row r="9" spans="1:139" x14ac:dyDescent="0.25">
      <c r="A9" s="768"/>
      <c r="B9" s="769"/>
      <c r="C9" s="769"/>
      <c r="D9" s="770"/>
      <c r="E9" s="768"/>
      <c r="F9" s="769"/>
      <c r="G9" s="769"/>
      <c r="H9" s="769"/>
      <c r="I9" s="770"/>
      <c r="J9" s="792" t="s">
        <v>957</v>
      </c>
      <c r="K9" s="698"/>
      <c r="L9" s="699"/>
      <c r="M9" s="836">
        <f>'BASE GRANTEE INFO &amp; UPDATES'!M8</f>
        <v>0</v>
      </c>
      <c r="N9" s="698"/>
      <c r="O9" s="699"/>
    </row>
    <row r="10" spans="1:139" x14ac:dyDescent="0.25">
      <c r="A10" s="790" t="s">
        <v>958</v>
      </c>
      <c r="B10" s="698"/>
      <c r="C10" s="698"/>
      <c r="D10" s="699"/>
      <c r="E10" s="791" t="str">
        <f>'BASE GRANTEE INFO &amp; UPDATES'!E9</f>
        <v>September 1 - 30</v>
      </c>
      <c r="F10" s="699"/>
      <c r="G10" s="1"/>
      <c r="H10" s="791">
        <f>'BASE GRANTEE INFO &amp; UPDATES'!G9</f>
        <v>2024</v>
      </c>
      <c r="I10" s="699"/>
      <c r="J10" s="792" t="s">
        <v>959</v>
      </c>
      <c r="K10" s="698"/>
      <c r="L10" s="699"/>
      <c r="M10" s="836">
        <f>'BASE GRANTEE INFO &amp; UPDATES'!M9</f>
        <v>0</v>
      </c>
      <c r="N10" s="698"/>
      <c r="O10" s="699"/>
    </row>
    <row r="11" spans="1:139" ht="18.75" x14ac:dyDescent="0.25">
      <c r="A11" s="835" t="s">
        <v>960</v>
      </c>
      <c r="B11" s="708"/>
      <c r="C11" s="708"/>
      <c r="D11" s="708"/>
      <c r="E11" s="708"/>
      <c r="F11" s="708"/>
      <c r="G11" s="708"/>
      <c r="H11" s="708"/>
      <c r="I11" s="708"/>
      <c r="J11" s="708"/>
      <c r="K11" s="708"/>
      <c r="L11" s="708"/>
      <c r="M11" s="708"/>
      <c r="N11" s="708"/>
      <c r="O11" s="709"/>
    </row>
    <row r="12" spans="1:139" ht="60" customHeight="1" x14ac:dyDescent="0.25">
      <c r="A12" s="89" t="s">
        <v>27</v>
      </c>
      <c r="B12" s="124" t="s">
        <v>212</v>
      </c>
      <c r="C12" s="125" t="s">
        <v>213</v>
      </c>
      <c r="D12" s="124" t="s">
        <v>961</v>
      </c>
      <c r="E12" s="125" t="s">
        <v>962</v>
      </c>
      <c r="F12" s="680" t="s">
        <v>427</v>
      </c>
      <c r="G12" s="413" t="s">
        <v>923</v>
      </c>
      <c r="H12" s="681" t="s">
        <v>921</v>
      </c>
      <c r="I12" s="680" t="s">
        <v>922</v>
      </c>
      <c r="J12" s="681" t="s">
        <v>924</v>
      </c>
      <c r="K12" s="680" t="s">
        <v>925</v>
      </c>
      <c r="L12" s="681" t="s">
        <v>926</v>
      </c>
      <c r="M12" s="680" t="s">
        <v>400</v>
      </c>
      <c r="N12" s="681"/>
      <c r="O12" s="680"/>
    </row>
    <row r="13" spans="1:139" ht="39.75" customHeight="1" x14ac:dyDescent="0.25">
      <c r="A13" s="109" t="e">
        <f>ROW(#REF!)</f>
        <v>#REF!</v>
      </c>
      <c r="B13" s="682"/>
      <c r="C13" s="115"/>
      <c r="D13" s="682"/>
      <c r="E13" s="115"/>
      <c r="F13" s="682"/>
      <c r="G13" s="682"/>
      <c r="H13" s="115"/>
      <c r="I13" s="682"/>
      <c r="J13" s="115"/>
      <c r="K13" s="682"/>
      <c r="L13" s="115"/>
      <c r="M13" s="682"/>
      <c r="N13" s="115"/>
      <c r="O13" s="682"/>
    </row>
    <row r="14" spans="1:139" ht="39.75" customHeight="1" x14ac:dyDescent="0.25">
      <c r="A14" s="109">
        <f t="shared" ref="A14:A62" si="0">ROW(A2)</f>
        <v>2</v>
      </c>
      <c r="B14" s="682"/>
      <c r="C14" s="115"/>
      <c r="D14" s="682"/>
      <c r="E14" s="115"/>
      <c r="F14" s="682"/>
      <c r="G14" s="682"/>
      <c r="H14" s="115"/>
      <c r="I14" s="682"/>
      <c r="J14" s="115"/>
      <c r="K14" s="682"/>
      <c r="L14" s="115"/>
      <c r="M14" s="682"/>
      <c r="N14" s="115"/>
      <c r="O14" s="682"/>
    </row>
    <row r="15" spans="1:139" ht="39.75" customHeight="1" x14ac:dyDescent="0.25">
      <c r="A15" s="109">
        <f t="shared" si="0"/>
        <v>3</v>
      </c>
      <c r="B15" s="682"/>
      <c r="C15" s="115"/>
      <c r="D15" s="682"/>
      <c r="E15" s="115"/>
      <c r="F15" s="682"/>
      <c r="G15" s="682"/>
      <c r="H15" s="115"/>
      <c r="I15" s="682"/>
      <c r="J15" s="115"/>
      <c r="K15" s="682"/>
      <c r="L15" s="115"/>
      <c r="M15" s="682"/>
      <c r="N15" s="115"/>
      <c r="O15" s="682"/>
    </row>
    <row r="16" spans="1:139" ht="39.75" customHeight="1" x14ac:dyDescent="0.25">
      <c r="A16" s="109">
        <f t="shared" si="0"/>
        <v>4</v>
      </c>
      <c r="B16" s="682"/>
      <c r="C16" s="115"/>
      <c r="D16" s="682"/>
      <c r="E16" s="115"/>
      <c r="F16" s="682"/>
      <c r="G16" s="682"/>
      <c r="H16" s="115"/>
      <c r="I16" s="682"/>
      <c r="J16" s="115"/>
      <c r="K16" s="682"/>
      <c r="L16" s="115"/>
      <c r="M16" s="682"/>
      <c r="N16" s="115"/>
      <c r="O16" s="682"/>
    </row>
    <row r="17" spans="1:15" ht="39.75" customHeight="1" x14ac:dyDescent="0.25">
      <c r="A17" s="109">
        <f t="shared" si="0"/>
        <v>5</v>
      </c>
      <c r="B17" s="682"/>
      <c r="C17" s="115"/>
      <c r="D17" s="682"/>
      <c r="E17" s="115"/>
      <c r="F17" s="682"/>
      <c r="G17" s="682"/>
      <c r="H17" s="115"/>
      <c r="I17" s="682"/>
      <c r="J17" s="115"/>
      <c r="K17" s="682"/>
      <c r="L17" s="115"/>
      <c r="M17" s="682"/>
      <c r="N17" s="115"/>
      <c r="O17" s="682"/>
    </row>
    <row r="18" spans="1:15" ht="39.75" customHeight="1" x14ac:dyDescent="0.25">
      <c r="A18" s="109">
        <f t="shared" si="0"/>
        <v>6</v>
      </c>
      <c r="B18" s="682"/>
      <c r="C18" s="115"/>
      <c r="D18" s="682"/>
      <c r="E18" s="115"/>
      <c r="F18" s="682"/>
      <c r="G18" s="682"/>
      <c r="H18" s="115"/>
      <c r="I18" s="682"/>
      <c r="J18" s="115"/>
      <c r="K18" s="682"/>
      <c r="L18" s="115"/>
      <c r="M18" s="682"/>
      <c r="N18" s="115"/>
      <c r="O18" s="682"/>
    </row>
    <row r="19" spans="1:15" ht="39.75" customHeight="1" x14ac:dyDescent="0.25">
      <c r="A19" s="109">
        <f t="shared" si="0"/>
        <v>7</v>
      </c>
      <c r="B19" s="682"/>
      <c r="C19" s="115"/>
      <c r="D19" s="682"/>
      <c r="E19" s="115"/>
      <c r="F19" s="682"/>
      <c r="G19" s="682"/>
      <c r="H19" s="115"/>
      <c r="I19" s="682"/>
      <c r="J19" s="115"/>
      <c r="K19" s="682"/>
      <c r="L19" s="115"/>
      <c r="M19" s="682"/>
      <c r="N19" s="115"/>
      <c r="O19" s="682"/>
    </row>
    <row r="20" spans="1:15" ht="39.75" customHeight="1" x14ac:dyDescent="0.25">
      <c r="A20" s="109">
        <f t="shared" si="0"/>
        <v>8</v>
      </c>
      <c r="B20" s="682"/>
      <c r="C20" s="115"/>
      <c r="D20" s="682"/>
      <c r="E20" s="115"/>
      <c r="F20" s="682"/>
      <c r="G20" s="682"/>
      <c r="H20" s="115"/>
      <c r="I20" s="682"/>
      <c r="J20" s="115"/>
      <c r="K20" s="682"/>
      <c r="L20" s="115"/>
      <c r="M20" s="682"/>
      <c r="N20" s="115"/>
      <c r="O20" s="682"/>
    </row>
    <row r="21" spans="1:15" ht="39.75" customHeight="1" x14ac:dyDescent="0.25">
      <c r="A21" s="109">
        <f t="shared" si="0"/>
        <v>9</v>
      </c>
      <c r="B21" s="682"/>
      <c r="C21" s="115"/>
      <c r="D21" s="682"/>
      <c r="E21" s="115"/>
      <c r="F21" s="682"/>
      <c r="G21" s="682"/>
      <c r="H21" s="115"/>
      <c r="I21" s="682"/>
      <c r="J21" s="115"/>
      <c r="K21" s="682"/>
      <c r="L21" s="115"/>
      <c r="M21" s="682"/>
      <c r="N21" s="115"/>
      <c r="O21" s="682"/>
    </row>
    <row r="22" spans="1:15" ht="39.75" customHeight="1" x14ac:dyDescent="0.25">
      <c r="A22" s="109">
        <f t="shared" si="0"/>
        <v>10</v>
      </c>
      <c r="B22" s="682"/>
      <c r="C22" s="115"/>
      <c r="D22" s="682"/>
      <c r="E22" s="115"/>
      <c r="F22" s="682"/>
      <c r="G22" s="682"/>
      <c r="H22" s="115"/>
      <c r="I22" s="682"/>
      <c r="J22" s="115"/>
      <c r="K22" s="682"/>
      <c r="L22" s="115"/>
      <c r="M22" s="682"/>
      <c r="N22" s="115"/>
      <c r="O22" s="682"/>
    </row>
    <row r="23" spans="1:15" ht="39.75" customHeight="1" x14ac:dyDescent="0.25">
      <c r="A23" s="109">
        <f t="shared" si="0"/>
        <v>11</v>
      </c>
      <c r="B23" s="682"/>
      <c r="C23" s="115"/>
      <c r="D23" s="682"/>
      <c r="E23" s="115"/>
      <c r="F23" s="682"/>
      <c r="G23" s="682"/>
      <c r="H23" s="115"/>
      <c r="I23" s="682"/>
      <c r="J23" s="115"/>
      <c r="K23" s="682"/>
      <c r="L23" s="115"/>
      <c r="M23" s="682"/>
      <c r="N23" s="115"/>
      <c r="O23" s="682"/>
    </row>
    <row r="24" spans="1:15" ht="39.75" customHeight="1" x14ac:dyDescent="0.25">
      <c r="A24" s="109">
        <f t="shared" si="0"/>
        <v>12</v>
      </c>
      <c r="B24" s="682"/>
      <c r="C24" s="115"/>
      <c r="D24" s="682"/>
      <c r="E24" s="115"/>
      <c r="F24" s="682"/>
      <c r="G24" s="682"/>
      <c r="H24" s="115"/>
      <c r="I24" s="682"/>
      <c r="J24" s="115"/>
      <c r="K24" s="682"/>
      <c r="L24" s="115"/>
      <c r="M24" s="682"/>
      <c r="N24" s="115"/>
      <c r="O24" s="682"/>
    </row>
    <row r="25" spans="1:15" ht="39.75" customHeight="1" x14ac:dyDescent="0.25">
      <c r="A25" s="109">
        <f t="shared" si="0"/>
        <v>13</v>
      </c>
      <c r="B25" s="682"/>
      <c r="C25" s="115"/>
      <c r="D25" s="682"/>
      <c r="E25" s="115"/>
      <c r="F25" s="682"/>
      <c r="G25" s="682"/>
      <c r="H25" s="115"/>
      <c r="I25" s="682"/>
      <c r="J25" s="115"/>
      <c r="K25" s="682"/>
      <c r="L25" s="115"/>
      <c r="M25" s="682"/>
      <c r="N25" s="115"/>
      <c r="O25" s="682"/>
    </row>
    <row r="26" spans="1:15" ht="39.75" customHeight="1" x14ac:dyDescent="0.25">
      <c r="A26" s="109">
        <f t="shared" si="0"/>
        <v>14</v>
      </c>
      <c r="B26" s="682"/>
      <c r="C26" s="115"/>
      <c r="D26" s="682"/>
      <c r="E26" s="115"/>
      <c r="F26" s="682"/>
      <c r="G26" s="682"/>
      <c r="H26" s="115"/>
      <c r="I26" s="682"/>
      <c r="J26" s="115"/>
      <c r="K26" s="682"/>
      <c r="L26" s="115"/>
      <c r="M26" s="682"/>
      <c r="N26" s="115"/>
      <c r="O26" s="682"/>
    </row>
    <row r="27" spans="1:15" ht="39.75" customHeight="1" x14ac:dyDescent="0.25">
      <c r="A27" s="109">
        <f t="shared" si="0"/>
        <v>15</v>
      </c>
      <c r="B27" s="682"/>
      <c r="C27" s="115"/>
      <c r="D27" s="682"/>
      <c r="E27" s="115"/>
      <c r="F27" s="682"/>
      <c r="G27" s="682"/>
      <c r="H27" s="115"/>
      <c r="I27" s="682"/>
      <c r="J27" s="115"/>
      <c r="K27" s="682"/>
      <c r="L27" s="115"/>
      <c r="M27" s="682"/>
      <c r="N27" s="115"/>
      <c r="O27" s="682"/>
    </row>
    <row r="28" spans="1:15" ht="39.75" customHeight="1" x14ac:dyDescent="0.25">
      <c r="A28" s="109">
        <f t="shared" si="0"/>
        <v>16</v>
      </c>
      <c r="B28" s="682"/>
      <c r="C28" s="115"/>
      <c r="D28" s="682"/>
      <c r="E28" s="115"/>
      <c r="F28" s="682"/>
      <c r="G28" s="682"/>
      <c r="H28" s="115"/>
      <c r="I28" s="682"/>
      <c r="J28" s="115"/>
      <c r="K28" s="682"/>
      <c r="L28" s="115"/>
      <c r="M28" s="682"/>
      <c r="N28" s="115"/>
      <c r="O28" s="682"/>
    </row>
    <row r="29" spans="1:15" ht="39.75" customHeight="1" x14ac:dyDescent="0.25">
      <c r="A29" s="109">
        <f t="shared" si="0"/>
        <v>17</v>
      </c>
      <c r="B29" s="682"/>
      <c r="C29" s="115"/>
      <c r="D29" s="682"/>
      <c r="E29" s="115"/>
      <c r="F29" s="682"/>
      <c r="G29" s="682"/>
      <c r="H29" s="115"/>
      <c r="I29" s="682"/>
      <c r="J29" s="115"/>
      <c r="K29" s="682"/>
      <c r="L29" s="115"/>
      <c r="M29" s="682"/>
      <c r="N29" s="115"/>
      <c r="O29" s="682"/>
    </row>
    <row r="30" spans="1:15" ht="39.75" customHeight="1" x14ac:dyDescent="0.25">
      <c r="A30" s="109">
        <f t="shared" si="0"/>
        <v>18</v>
      </c>
      <c r="B30" s="682"/>
      <c r="C30" s="115"/>
      <c r="D30" s="682"/>
      <c r="E30" s="115"/>
      <c r="F30" s="682"/>
      <c r="G30" s="682"/>
      <c r="H30" s="115"/>
      <c r="I30" s="682"/>
      <c r="J30" s="115"/>
      <c r="K30" s="682"/>
      <c r="L30" s="115"/>
      <c r="M30" s="682"/>
      <c r="N30" s="115"/>
      <c r="O30" s="682"/>
    </row>
    <row r="31" spans="1:15" ht="39.75" customHeight="1" x14ac:dyDescent="0.25">
      <c r="A31" s="109">
        <f t="shared" si="0"/>
        <v>19</v>
      </c>
      <c r="B31" s="682"/>
      <c r="C31" s="115"/>
      <c r="D31" s="682"/>
      <c r="E31" s="115"/>
      <c r="F31" s="682"/>
      <c r="G31" s="682"/>
      <c r="H31" s="115"/>
      <c r="I31" s="682"/>
      <c r="J31" s="115"/>
      <c r="K31" s="682"/>
      <c r="L31" s="115"/>
      <c r="M31" s="682"/>
      <c r="N31" s="115"/>
      <c r="O31" s="682"/>
    </row>
    <row r="32" spans="1:15" ht="39.75" customHeight="1" x14ac:dyDescent="0.25">
      <c r="A32" s="109">
        <f t="shared" si="0"/>
        <v>20</v>
      </c>
      <c r="B32" s="682"/>
      <c r="C32" s="115"/>
      <c r="D32" s="682"/>
      <c r="E32" s="115"/>
      <c r="F32" s="682"/>
      <c r="G32" s="682"/>
      <c r="H32" s="115"/>
      <c r="I32" s="682"/>
      <c r="J32" s="115"/>
      <c r="K32" s="682"/>
      <c r="L32" s="115"/>
      <c r="M32" s="682"/>
      <c r="N32" s="115"/>
      <c r="O32" s="682"/>
    </row>
    <row r="33" spans="1:15" ht="39.75" customHeight="1" x14ac:dyDescent="0.25">
      <c r="A33" s="109">
        <f t="shared" si="0"/>
        <v>21</v>
      </c>
      <c r="B33" s="682"/>
      <c r="C33" s="115"/>
      <c r="D33" s="682"/>
      <c r="E33" s="115"/>
      <c r="F33" s="682"/>
      <c r="G33" s="682"/>
      <c r="H33" s="115"/>
      <c r="I33" s="682"/>
      <c r="J33" s="115"/>
      <c r="K33" s="682"/>
      <c r="L33" s="115"/>
      <c r="M33" s="682"/>
      <c r="N33" s="115"/>
      <c r="O33" s="682"/>
    </row>
    <row r="34" spans="1:15" ht="39.75" customHeight="1" x14ac:dyDescent="0.25">
      <c r="A34" s="109">
        <f t="shared" si="0"/>
        <v>22</v>
      </c>
      <c r="B34" s="682"/>
      <c r="C34" s="115"/>
      <c r="D34" s="682"/>
      <c r="E34" s="115"/>
      <c r="F34" s="682"/>
      <c r="G34" s="682"/>
      <c r="H34" s="115"/>
      <c r="I34" s="682"/>
      <c r="J34" s="115"/>
      <c r="K34" s="682"/>
      <c r="L34" s="115"/>
      <c r="M34" s="682"/>
      <c r="N34" s="115"/>
      <c r="O34" s="682"/>
    </row>
    <row r="35" spans="1:15" ht="39.75" customHeight="1" x14ac:dyDescent="0.25">
      <c r="A35" s="109">
        <f t="shared" si="0"/>
        <v>23</v>
      </c>
      <c r="B35" s="682"/>
      <c r="C35" s="115"/>
      <c r="D35" s="682"/>
      <c r="E35" s="115"/>
      <c r="F35" s="682"/>
      <c r="G35" s="682"/>
      <c r="H35" s="115"/>
      <c r="I35" s="682"/>
      <c r="J35" s="115"/>
      <c r="K35" s="682"/>
      <c r="L35" s="115"/>
      <c r="M35" s="682"/>
      <c r="N35" s="115"/>
      <c r="O35" s="682"/>
    </row>
    <row r="36" spans="1:15" ht="39.75" customHeight="1" x14ac:dyDescent="0.25">
      <c r="A36" s="109">
        <f t="shared" si="0"/>
        <v>24</v>
      </c>
      <c r="B36" s="682"/>
      <c r="C36" s="115"/>
      <c r="D36" s="682"/>
      <c r="E36" s="115"/>
      <c r="F36" s="682"/>
      <c r="G36" s="682"/>
      <c r="H36" s="115"/>
      <c r="I36" s="682"/>
      <c r="J36" s="115"/>
      <c r="K36" s="682"/>
      <c r="L36" s="115"/>
      <c r="M36" s="682"/>
      <c r="N36" s="115"/>
      <c r="O36" s="682"/>
    </row>
    <row r="37" spans="1:15" ht="39.75" customHeight="1" x14ac:dyDescent="0.25">
      <c r="A37" s="109">
        <f t="shared" si="0"/>
        <v>25</v>
      </c>
      <c r="B37" s="682"/>
      <c r="C37" s="115"/>
      <c r="D37" s="682"/>
      <c r="E37" s="115"/>
      <c r="F37" s="682"/>
      <c r="G37" s="682"/>
      <c r="H37" s="115"/>
      <c r="I37" s="682"/>
      <c r="J37" s="115"/>
      <c r="K37" s="682"/>
      <c r="L37" s="115"/>
      <c r="M37" s="682"/>
      <c r="N37" s="115"/>
      <c r="O37" s="682"/>
    </row>
    <row r="38" spans="1:15" ht="39.75" customHeight="1" x14ac:dyDescent="0.25">
      <c r="A38" s="109">
        <f t="shared" si="0"/>
        <v>26</v>
      </c>
      <c r="B38" s="682"/>
      <c r="C38" s="115"/>
      <c r="D38" s="682"/>
      <c r="E38" s="115"/>
      <c r="F38" s="682"/>
      <c r="G38" s="682"/>
      <c r="H38" s="115"/>
      <c r="I38" s="682"/>
      <c r="J38" s="115"/>
      <c r="K38" s="682"/>
      <c r="L38" s="115"/>
      <c r="M38" s="682"/>
      <c r="N38" s="115"/>
      <c r="O38" s="682"/>
    </row>
    <row r="39" spans="1:15" ht="39.75" customHeight="1" x14ac:dyDescent="0.25">
      <c r="A39" s="109">
        <f t="shared" si="0"/>
        <v>27</v>
      </c>
      <c r="B39" s="682"/>
      <c r="C39" s="115"/>
      <c r="D39" s="682"/>
      <c r="E39" s="115"/>
      <c r="F39" s="682"/>
      <c r="G39" s="682"/>
      <c r="H39" s="115"/>
      <c r="I39" s="682"/>
      <c r="J39" s="115"/>
      <c r="K39" s="682"/>
      <c r="L39" s="115"/>
      <c r="M39" s="682"/>
      <c r="N39" s="115"/>
      <c r="O39" s="682"/>
    </row>
    <row r="40" spans="1:15" ht="39.75" customHeight="1" x14ac:dyDescent="0.25">
      <c r="A40" s="109">
        <f t="shared" si="0"/>
        <v>28</v>
      </c>
      <c r="B40" s="682"/>
      <c r="C40" s="115"/>
      <c r="D40" s="682"/>
      <c r="E40" s="115"/>
      <c r="F40" s="682"/>
      <c r="G40" s="682"/>
      <c r="H40" s="115"/>
      <c r="I40" s="682"/>
      <c r="J40" s="115"/>
      <c r="K40" s="682"/>
      <c r="L40" s="115"/>
      <c r="M40" s="682"/>
      <c r="N40" s="115"/>
      <c r="O40" s="682"/>
    </row>
    <row r="41" spans="1:15" ht="39.75" customHeight="1" x14ac:dyDescent="0.25">
      <c r="A41" s="109">
        <f t="shared" si="0"/>
        <v>29</v>
      </c>
      <c r="B41" s="682"/>
      <c r="C41" s="115"/>
      <c r="D41" s="682"/>
      <c r="E41" s="115"/>
      <c r="F41" s="682"/>
      <c r="G41" s="682"/>
      <c r="H41" s="115"/>
      <c r="I41" s="682"/>
      <c r="J41" s="115"/>
      <c r="K41" s="682"/>
      <c r="L41" s="115"/>
      <c r="M41" s="682"/>
      <c r="N41" s="115"/>
      <c r="O41" s="682"/>
    </row>
    <row r="42" spans="1:15" ht="39.75" customHeight="1" x14ac:dyDescent="0.25">
      <c r="A42" s="109">
        <f t="shared" si="0"/>
        <v>30</v>
      </c>
      <c r="B42" s="682"/>
      <c r="C42" s="115"/>
      <c r="D42" s="682"/>
      <c r="E42" s="115"/>
      <c r="F42" s="682"/>
      <c r="G42" s="682"/>
      <c r="H42" s="115"/>
      <c r="I42" s="682"/>
      <c r="J42" s="115"/>
      <c r="K42" s="682"/>
      <c r="L42" s="115"/>
      <c r="M42" s="682"/>
      <c r="N42" s="115"/>
      <c r="O42" s="682"/>
    </row>
    <row r="43" spans="1:15" ht="39.75" customHeight="1" x14ac:dyDescent="0.25">
      <c r="A43" s="109">
        <f t="shared" si="0"/>
        <v>31</v>
      </c>
      <c r="B43" s="682"/>
      <c r="C43" s="115"/>
      <c r="D43" s="682"/>
      <c r="E43" s="115"/>
      <c r="F43" s="682"/>
      <c r="G43" s="682"/>
      <c r="H43" s="115"/>
      <c r="I43" s="682"/>
      <c r="J43" s="115"/>
      <c r="K43" s="682"/>
      <c r="L43" s="115"/>
      <c r="M43" s="682"/>
      <c r="N43" s="115"/>
      <c r="O43" s="682"/>
    </row>
    <row r="44" spans="1:15" ht="39.75" customHeight="1" x14ac:dyDescent="0.25">
      <c r="A44" s="109">
        <f t="shared" si="0"/>
        <v>32</v>
      </c>
      <c r="B44" s="682"/>
      <c r="C44" s="115"/>
      <c r="D44" s="682"/>
      <c r="E44" s="115"/>
      <c r="F44" s="682"/>
      <c r="G44" s="682"/>
      <c r="H44" s="115"/>
      <c r="I44" s="682"/>
      <c r="J44" s="115"/>
      <c r="K44" s="682"/>
      <c r="L44" s="115"/>
      <c r="M44" s="682"/>
      <c r="N44" s="115"/>
      <c r="O44" s="682"/>
    </row>
    <row r="45" spans="1:15" ht="39.75" customHeight="1" x14ac:dyDescent="0.25">
      <c r="A45" s="109">
        <f t="shared" si="0"/>
        <v>33</v>
      </c>
      <c r="B45" s="682"/>
      <c r="C45" s="115"/>
      <c r="D45" s="682"/>
      <c r="E45" s="115"/>
      <c r="F45" s="682"/>
      <c r="G45" s="682"/>
      <c r="H45" s="115"/>
      <c r="I45" s="682"/>
      <c r="J45" s="115"/>
      <c r="K45" s="682"/>
      <c r="L45" s="115"/>
      <c r="M45" s="682"/>
      <c r="N45" s="115"/>
      <c r="O45" s="682"/>
    </row>
    <row r="46" spans="1:15" ht="39.75" customHeight="1" x14ac:dyDescent="0.25">
      <c r="A46" s="109">
        <f t="shared" si="0"/>
        <v>34</v>
      </c>
      <c r="B46" s="682"/>
      <c r="C46" s="115"/>
      <c r="D46" s="682"/>
      <c r="E46" s="115"/>
      <c r="F46" s="682"/>
      <c r="G46" s="682"/>
      <c r="H46" s="115"/>
      <c r="I46" s="682"/>
      <c r="J46" s="115"/>
      <c r="K46" s="682"/>
      <c r="L46" s="115"/>
      <c r="M46" s="682"/>
      <c r="N46" s="115"/>
      <c r="O46" s="682"/>
    </row>
    <row r="47" spans="1:15" ht="39.75" customHeight="1" x14ac:dyDescent="0.25">
      <c r="A47" s="109">
        <f t="shared" si="0"/>
        <v>35</v>
      </c>
      <c r="B47" s="682"/>
      <c r="C47" s="115"/>
      <c r="D47" s="682"/>
      <c r="E47" s="115"/>
      <c r="F47" s="682"/>
      <c r="G47" s="682"/>
      <c r="H47" s="115"/>
      <c r="I47" s="682"/>
      <c r="J47" s="115"/>
      <c r="K47" s="682"/>
      <c r="L47" s="115"/>
      <c r="M47" s="682"/>
      <c r="N47" s="115"/>
      <c r="O47" s="682"/>
    </row>
    <row r="48" spans="1:15" ht="39.75" customHeight="1" x14ac:dyDescent="0.25">
      <c r="A48" s="109">
        <f t="shared" si="0"/>
        <v>36</v>
      </c>
      <c r="B48" s="682"/>
      <c r="C48" s="115"/>
      <c r="D48" s="682"/>
      <c r="E48" s="115"/>
      <c r="F48" s="682"/>
      <c r="G48" s="682"/>
      <c r="H48" s="115"/>
      <c r="I48" s="682"/>
      <c r="J48" s="115"/>
      <c r="K48" s="682"/>
      <c r="L48" s="115"/>
      <c r="M48" s="682"/>
      <c r="N48" s="115"/>
      <c r="O48" s="682"/>
    </row>
    <row r="49" spans="1:15" ht="39.75" customHeight="1" x14ac:dyDescent="0.25">
      <c r="A49" s="109">
        <f t="shared" si="0"/>
        <v>37</v>
      </c>
      <c r="B49" s="682"/>
      <c r="C49" s="115"/>
      <c r="D49" s="682"/>
      <c r="E49" s="115"/>
      <c r="F49" s="682"/>
      <c r="G49" s="682"/>
      <c r="H49" s="115"/>
      <c r="I49" s="682"/>
      <c r="J49" s="115"/>
      <c r="K49" s="682"/>
      <c r="L49" s="115"/>
      <c r="M49" s="682"/>
      <c r="N49" s="115"/>
      <c r="O49" s="682"/>
    </row>
    <row r="50" spans="1:15" ht="39.75" customHeight="1" x14ac:dyDescent="0.25">
      <c r="A50" s="109">
        <f t="shared" si="0"/>
        <v>38</v>
      </c>
      <c r="B50" s="682"/>
      <c r="C50" s="115"/>
      <c r="D50" s="682"/>
      <c r="E50" s="115"/>
      <c r="F50" s="682"/>
      <c r="G50" s="682"/>
      <c r="H50" s="115"/>
      <c r="I50" s="682"/>
      <c r="J50" s="115"/>
      <c r="K50" s="682"/>
      <c r="L50" s="115"/>
      <c r="M50" s="682"/>
      <c r="N50" s="115"/>
      <c r="O50" s="682"/>
    </row>
    <row r="51" spans="1:15" ht="39.75" customHeight="1" x14ac:dyDescent="0.25">
      <c r="A51" s="109">
        <f t="shared" si="0"/>
        <v>39</v>
      </c>
      <c r="B51" s="682"/>
      <c r="C51" s="115"/>
      <c r="D51" s="682"/>
      <c r="E51" s="115"/>
      <c r="F51" s="682"/>
      <c r="G51" s="682"/>
      <c r="H51" s="115"/>
      <c r="I51" s="682"/>
      <c r="J51" s="115"/>
      <c r="K51" s="682"/>
      <c r="L51" s="115"/>
      <c r="M51" s="682"/>
      <c r="N51" s="115"/>
      <c r="O51" s="682"/>
    </row>
    <row r="52" spans="1:15" ht="39.75" customHeight="1" x14ac:dyDescent="0.25">
      <c r="A52" s="109">
        <f t="shared" si="0"/>
        <v>40</v>
      </c>
      <c r="B52" s="682"/>
      <c r="C52" s="115"/>
      <c r="D52" s="682"/>
      <c r="E52" s="115"/>
      <c r="F52" s="682"/>
      <c r="G52" s="682"/>
      <c r="H52" s="115"/>
      <c r="I52" s="682"/>
      <c r="J52" s="115"/>
      <c r="K52" s="682"/>
      <c r="L52" s="115"/>
      <c r="M52" s="682"/>
      <c r="N52" s="115"/>
      <c r="O52" s="682"/>
    </row>
    <row r="53" spans="1:15" ht="39.75" customHeight="1" x14ac:dyDescent="0.25">
      <c r="A53" s="109">
        <f t="shared" si="0"/>
        <v>41</v>
      </c>
      <c r="B53" s="682"/>
      <c r="C53" s="115"/>
      <c r="D53" s="682"/>
      <c r="E53" s="115"/>
      <c r="F53" s="682"/>
      <c r="G53" s="682"/>
      <c r="H53" s="115"/>
      <c r="I53" s="682"/>
      <c r="J53" s="115"/>
      <c r="K53" s="682"/>
      <c r="L53" s="115"/>
      <c r="M53" s="682"/>
      <c r="N53" s="115"/>
      <c r="O53" s="682"/>
    </row>
    <row r="54" spans="1:15" ht="39.75" customHeight="1" x14ac:dyDescent="0.25">
      <c r="A54" s="109">
        <f t="shared" si="0"/>
        <v>42</v>
      </c>
      <c r="B54" s="682"/>
      <c r="C54" s="115"/>
      <c r="D54" s="682"/>
      <c r="E54" s="115"/>
      <c r="F54" s="682"/>
      <c r="G54" s="682"/>
      <c r="H54" s="115"/>
      <c r="I54" s="682"/>
      <c r="J54" s="115"/>
      <c r="K54" s="682"/>
      <c r="L54" s="115"/>
      <c r="M54" s="682"/>
      <c r="N54" s="115"/>
      <c r="O54" s="682"/>
    </row>
    <row r="55" spans="1:15" ht="39.75" customHeight="1" x14ac:dyDescent="0.25">
      <c r="A55" s="109">
        <f t="shared" si="0"/>
        <v>43</v>
      </c>
      <c r="B55" s="682"/>
      <c r="C55" s="115"/>
      <c r="D55" s="682"/>
      <c r="E55" s="115"/>
      <c r="F55" s="682"/>
      <c r="G55" s="682"/>
      <c r="H55" s="115"/>
      <c r="I55" s="682"/>
      <c r="J55" s="115"/>
      <c r="K55" s="682"/>
      <c r="L55" s="115"/>
      <c r="M55" s="682"/>
      <c r="N55" s="115"/>
      <c r="O55" s="682"/>
    </row>
    <row r="56" spans="1:15" ht="39.75" customHeight="1" x14ac:dyDescent="0.25">
      <c r="A56" s="109">
        <f t="shared" si="0"/>
        <v>44</v>
      </c>
      <c r="B56" s="682"/>
      <c r="C56" s="115"/>
      <c r="D56" s="682"/>
      <c r="E56" s="115"/>
      <c r="F56" s="682"/>
      <c r="G56" s="682"/>
      <c r="H56" s="115"/>
      <c r="I56" s="682"/>
      <c r="J56" s="115"/>
      <c r="K56" s="682"/>
      <c r="L56" s="115"/>
      <c r="M56" s="682"/>
      <c r="N56" s="115"/>
      <c r="O56" s="682"/>
    </row>
    <row r="57" spans="1:15" ht="39.75" customHeight="1" x14ac:dyDescent="0.25">
      <c r="A57" s="109">
        <f t="shared" si="0"/>
        <v>45</v>
      </c>
      <c r="B57" s="682"/>
      <c r="C57" s="115"/>
      <c r="D57" s="682"/>
      <c r="E57" s="115"/>
      <c r="F57" s="682"/>
      <c r="G57" s="682"/>
      <c r="H57" s="115"/>
      <c r="I57" s="682"/>
      <c r="J57" s="115"/>
      <c r="K57" s="682"/>
      <c r="L57" s="115"/>
      <c r="M57" s="682"/>
      <c r="N57" s="115"/>
      <c r="O57" s="682"/>
    </row>
    <row r="58" spans="1:15" ht="39.75" customHeight="1" x14ac:dyDescent="0.25">
      <c r="A58" s="109">
        <f t="shared" si="0"/>
        <v>46</v>
      </c>
      <c r="B58" s="682"/>
      <c r="C58" s="115"/>
      <c r="D58" s="682"/>
      <c r="E58" s="115"/>
      <c r="F58" s="682"/>
      <c r="G58" s="682"/>
      <c r="H58" s="115"/>
      <c r="I58" s="682"/>
      <c r="J58" s="115"/>
      <c r="K58" s="682"/>
      <c r="L58" s="115"/>
      <c r="M58" s="682"/>
      <c r="N58" s="115"/>
      <c r="O58" s="682"/>
    </row>
    <row r="59" spans="1:15" ht="39.75" customHeight="1" x14ac:dyDescent="0.25">
      <c r="A59" s="109">
        <f t="shared" si="0"/>
        <v>47</v>
      </c>
      <c r="B59" s="682"/>
      <c r="C59" s="115"/>
      <c r="D59" s="682"/>
      <c r="E59" s="115"/>
      <c r="F59" s="682"/>
      <c r="G59" s="682"/>
      <c r="H59" s="115"/>
      <c r="I59" s="682"/>
      <c r="J59" s="115"/>
      <c r="K59" s="682"/>
      <c r="L59" s="115"/>
      <c r="M59" s="682"/>
      <c r="N59" s="115"/>
      <c r="O59" s="682"/>
    </row>
    <row r="60" spans="1:15" ht="39.75" customHeight="1" x14ac:dyDescent="0.25">
      <c r="A60" s="109">
        <f t="shared" si="0"/>
        <v>48</v>
      </c>
      <c r="B60" s="682"/>
      <c r="C60" s="115"/>
      <c r="D60" s="682"/>
      <c r="E60" s="115"/>
      <c r="F60" s="682"/>
      <c r="G60" s="682"/>
      <c r="H60" s="115"/>
      <c r="I60" s="682"/>
      <c r="J60" s="115"/>
      <c r="K60" s="682"/>
      <c r="L60" s="115"/>
      <c r="M60" s="682"/>
      <c r="N60" s="115"/>
      <c r="O60" s="682"/>
    </row>
    <row r="61" spans="1:15" ht="39.75" customHeight="1" x14ac:dyDescent="0.25">
      <c r="A61" s="109">
        <f t="shared" si="0"/>
        <v>49</v>
      </c>
      <c r="B61" s="682"/>
      <c r="C61" s="115"/>
      <c r="D61" s="682"/>
      <c r="E61" s="115"/>
      <c r="F61" s="682"/>
      <c r="G61" s="682"/>
      <c r="H61" s="115"/>
      <c r="I61" s="682"/>
      <c r="J61" s="115"/>
      <c r="K61" s="682"/>
      <c r="L61" s="115"/>
      <c r="M61" s="682"/>
      <c r="N61" s="115"/>
      <c r="O61" s="682"/>
    </row>
    <row r="62" spans="1:15" ht="39.75" customHeight="1" x14ac:dyDescent="0.25">
      <c r="A62" s="109">
        <f t="shared" si="0"/>
        <v>50</v>
      </c>
      <c r="B62" s="682"/>
      <c r="C62" s="115"/>
      <c r="D62" s="682"/>
      <c r="E62" s="115"/>
      <c r="F62" s="682"/>
      <c r="G62" s="682"/>
      <c r="H62" s="115"/>
      <c r="I62" s="682"/>
      <c r="J62" s="115"/>
      <c r="K62" s="682"/>
      <c r="L62" s="115"/>
      <c r="M62" s="682"/>
      <c r="N62" s="115"/>
      <c r="O62" s="682"/>
    </row>
    <row r="63" spans="1:15" ht="15.75" customHeight="1" x14ac:dyDescent="0.25">
      <c r="A63" s="122"/>
    </row>
    <row r="64" spans="1:15"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c r="A69" s="122"/>
    </row>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3">
    <mergeCell ref="DF1:DG1"/>
    <mergeCell ref="DH1:DI1"/>
    <mergeCell ref="DJ1:DK1"/>
    <mergeCell ref="A6:D6"/>
    <mergeCell ref="A7:D7"/>
    <mergeCell ref="E7:I7"/>
    <mergeCell ref="J7:L7"/>
    <mergeCell ref="M7:O7"/>
    <mergeCell ref="CV1:CW1"/>
    <mergeCell ref="CX1:CY1"/>
    <mergeCell ref="CZ1:DA1"/>
    <mergeCell ref="DB1:DC1"/>
    <mergeCell ref="DD1:DE1"/>
    <mergeCell ref="CL1:CM1"/>
    <mergeCell ref="CN1:CO1"/>
    <mergeCell ref="CP1:CQ1"/>
    <mergeCell ref="CR1:CS1"/>
    <mergeCell ref="CT1:CU1"/>
    <mergeCell ref="CB1:CC1"/>
    <mergeCell ref="CD1:CE1"/>
    <mergeCell ref="CF1:CG1"/>
    <mergeCell ref="CH1:CI1"/>
    <mergeCell ref="CJ1:CK1"/>
    <mergeCell ref="BM1:BO1"/>
    <mergeCell ref="BP1:BS1"/>
    <mergeCell ref="BT1:BW1"/>
    <mergeCell ref="BX1:BY1"/>
    <mergeCell ref="BZ1:CA1"/>
    <mergeCell ref="AZ1:BA1"/>
    <mergeCell ref="BB1:BC1"/>
    <mergeCell ref="BD1:BF1"/>
    <mergeCell ref="BG1:BI1"/>
    <mergeCell ref="BJ1:BL1"/>
    <mergeCell ref="AP1:AQ1"/>
    <mergeCell ref="AR1:AS1"/>
    <mergeCell ref="AT1:AU1"/>
    <mergeCell ref="AV1:AW1"/>
    <mergeCell ref="AX1:AY1"/>
    <mergeCell ref="AB1:AC1"/>
    <mergeCell ref="AD1:AF1"/>
    <mergeCell ref="AG1:AI1"/>
    <mergeCell ref="AJ1:AL1"/>
    <mergeCell ref="AM1:AN1"/>
    <mergeCell ref="A11:O11"/>
    <mergeCell ref="Q1:R1"/>
    <mergeCell ref="S1:U1"/>
    <mergeCell ref="V1:W1"/>
    <mergeCell ref="X1:AA1"/>
    <mergeCell ref="A5:O5"/>
    <mergeCell ref="E6:I6"/>
    <mergeCell ref="J6:L6"/>
    <mergeCell ref="M6:O6"/>
    <mergeCell ref="E10:F10"/>
    <mergeCell ref="H10:I10"/>
    <mergeCell ref="J10:L10"/>
    <mergeCell ref="M10:O10"/>
    <mergeCell ref="A8:D9"/>
    <mergeCell ref="E8:I9"/>
    <mergeCell ref="J8:L8"/>
    <mergeCell ref="M8:O8"/>
    <mergeCell ref="J9:L9"/>
    <mergeCell ref="M9:O9"/>
    <mergeCell ref="A10:D10"/>
    <mergeCell ref="M1:N1"/>
    <mergeCell ref="O1:P1"/>
    <mergeCell ref="A2:O2"/>
    <mergeCell ref="A3:O3"/>
    <mergeCell ref="A4:O4"/>
    <mergeCell ref="B1:C1"/>
    <mergeCell ref="D1:E1"/>
    <mergeCell ref="F1:G1"/>
    <mergeCell ref="H1:J1"/>
    <mergeCell ref="K1:L1"/>
    <mergeCell ref="DZ1:EA1"/>
    <mergeCell ref="EB1:EC1"/>
    <mergeCell ref="ED1:EI1"/>
    <mergeCell ref="DL1:DM1"/>
    <mergeCell ref="DN1:DO1"/>
    <mergeCell ref="DP1:DQ1"/>
    <mergeCell ref="DR1:DS1"/>
    <mergeCell ref="DT1:DU1"/>
    <mergeCell ref="DV1:DW1"/>
    <mergeCell ref="DX1:DY1"/>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1A00-000000000000}">
          <x14:formula1>
            <xm:f>'Pick List '!$C$4:$C$9</xm:f>
          </x14:formula1>
          <xm:sqref>H10</xm:sqref>
        </x14:dataValidation>
        <x14:dataValidation type="list" allowBlank="1" showErrorMessage="1" xr:uid="{00000000-0002-0000-1A00-000001000000}">
          <x14:formula1>
            <xm:f>'Pick List '!$A$4:$A$15</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0"/>
  <sheetViews>
    <sheetView workbookViewId="0"/>
  </sheetViews>
  <sheetFormatPr defaultColWidth="14.42578125" defaultRowHeight="15" customHeight="1" x14ac:dyDescent="0.25"/>
  <cols>
    <col min="1" max="1" width="44.7109375" customWidth="1"/>
    <col min="2" max="25" width="15.7109375" customWidth="1"/>
    <col min="26" max="38" width="8.7109375" customWidth="1"/>
  </cols>
  <sheetData>
    <row r="1" spans="1:38" ht="38.25" x14ac:dyDescent="0.25">
      <c r="A1" s="20" t="s">
        <v>59</v>
      </c>
      <c r="B1" s="21" t="s">
        <v>60</v>
      </c>
      <c r="C1" s="22" t="s">
        <v>61</v>
      </c>
      <c r="D1" s="23" t="s">
        <v>62</v>
      </c>
      <c r="E1" s="24" t="s">
        <v>63</v>
      </c>
      <c r="F1" s="21" t="s">
        <v>64</v>
      </c>
      <c r="G1" s="22" t="s">
        <v>65</v>
      </c>
      <c r="H1" s="23" t="s">
        <v>66</v>
      </c>
      <c r="I1" s="24" t="s">
        <v>67</v>
      </c>
      <c r="J1" s="25" t="s">
        <v>68</v>
      </c>
      <c r="K1" s="25" t="s">
        <v>69</v>
      </c>
      <c r="L1" s="26" t="s">
        <v>70</v>
      </c>
      <c r="M1" s="26" t="s">
        <v>71</v>
      </c>
      <c r="N1" s="25" t="s">
        <v>72</v>
      </c>
      <c r="O1" s="25" t="s">
        <v>73</v>
      </c>
      <c r="P1" s="26" t="s">
        <v>74</v>
      </c>
      <c r="Q1" s="26" t="s">
        <v>75</v>
      </c>
      <c r="R1" s="25" t="s">
        <v>76</v>
      </c>
      <c r="S1" s="25" t="s">
        <v>77</v>
      </c>
      <c r="T1" s="26" t="s">
        <v>78</v>
      </c>
      <c r="U1" s="26" t="s">
        <v>79</v>
      </c>
      <c r="V1" s="25" t="s">
        <v>80</v>
      </c>
      <c r="W1" s="25" t="s">
        <v>81</v>
      </c>
      <c r="X1" s="26" t="s">
        <v>82</v>
      </c>
      <c r="Y1" s="26" t="s">
        <v>83</v>
      </c>
    </row>
    <row r="2" spans="1:38" x14ac:dyDescent="0.25">
      <c r="L2" s="27"/>
      <c r="M2" s="27"/>
      <c r="N2" s="27"/>
      <c r="O2" s="27"/>
      <c r="P2" s="27"/>
      <c r="Q2" s="27"/>
      <c r="R2" s="27"/>
      <c r="S2" s="27"/>
      <c r="T2" s="27"/>
      <c r="U2" s="27"/>
      <c r="V2" s="27"/>
      <c r="W2" s="27"/>
      <c r="X2" s="27"/>
      <c r="Y2" s="27"/>
      <c r="AB2" s="775" t="s">
        <v>84</v>
      </c>
      <c r="AC2" s="698"/>
      <c r="AD2" s="698"/>
      <c r="AE2" s="698"/>
      <c r="AF2" s="698"/>
      <c r="AG2" s="698"/>
      <c r="AH2" s="698"/>
      <c r="AI2" s="698"/>
      <c r="AJ2" s="698"/>
      <c r="AK2" s="698"/>
      <c r="AL2" s="714"/>
    </row>
    <row r="3" spans="1:38" ht="15.75" x14ac:dyDescent="0.25">
      <c r="L3" s="27"/>
      <c r="M3" s="27"/>
      <c r="N3" s="27"/>
      <c r="O3" s="27"/>
      <c r="P3" s="27"/>
      <c r="Q3" s="27"/>
      <c r="R3" s="27"/>
      <c r="S3" s="27"/>
      <c r="T3" s="27"/>
      <c r="U3" s="27"/>
      <c r="V3" s="27"/>
      <c r="W3" s="27"/>
      <c r="X3" s="27"/>
      <c r="Y3" s="27"/>
      <c r="AB3" s="776" t="str">
        <f>'BASE GRANTEE INFO &amp; UPDATES'!A1</f>
        <v>WV Bureau For Behavioral Health - Harm Reduction 2025</v>
      </c>
      <c r="AC3" s="705"/>
      <c r="AD3" s="705"/>
      <c r="AE3" s="705"/>
      <c r="AF3" s="705"/>
      <c r="AG3" s="705"/>
      <c r="AH3" s="705"/>
      <c r="AI3" s="705"/>
      <c r="AJ3" s="705"/>
      <c r="AK3" s="705"/>
      <c r="AL3" s="706"/>
    </row>
    <row r="4" spans="1:38" ht="15.75" x14ac:dyDescent="0.25">
      <c r="L4" s="27"/>
      <c r="M4" s="27"/>
      <c r="N4" s="27"/>
      <c r="O4" s="27"/>
      <c r="P4" s="27"/>
      <c r="Q4" s="27"/>
      <c r="R4" s="27"/>
      <c r="S4" s="27"/>
      <c r="T4" s="27"/>
      <c r="U4" s="27"/>
      <c r="V4" s="27"/>
      <c r="W4" s="27"/>
      <c r="X4" s="27"/>
      <c r="Y4" s="27"/>
      <c r="AB4" s="777">
        <f>'BASE GRANTEE INFO &amp; UPDATES'!A2</f>
        <v>0</v>
      </c>
      <c r="AC4" s="708"/>
      <c r="AD4" s="708"/>
      <c r="AE4" s="708"/>
      <c r="AF4" s="708"/>
      <c r="AG4" s="708"/>
      <c r="AH4" s="708"/>
      <c r="AI4" s="708"/>
      <c r="AJ4" s="708"/>
      <c r="AK4" s="708"/>
      <c r="AL4" s="778"/>
    </row>
    <row r="5" spans="1:38" ht="15.75" x14ac:dyDescent="0.25">
      <c r="L5" s="27"/>
      <c r="M5" s="27"/>
      <c r="N5" s="27"/>
      <c r="O5" s="27"/>
      <c r="P5" s="27"/>
      <c r="Q5" s="27"/>
      <c r="R5" s="27"/>
      <c r="S5" s="27"/>
      <c r="T5" s="27"/>
      <c r="U5" s="27"/>
      <c r="V5" s="27"/>
      <c r="W5" s="27"/>
      <c r="X5" s="27"/>
      <c r="Y5" s="27"/>
      <c r="AB5" s="779" t="str">
        <f>'BASE GRANTEE INFO &amp; UPDATES'!A3</f>
        <v xml:space="preserve">Program reports need to be submitted electronically, via e-mail to BBHReporting@wv.gov  within 25 calendar days of the end of each month </v>
      </c>
      <c r="AC5" s="708"/>
      <c r="AD5" s="708"/>
      <c r="AE5" s="708"/>
      <c r="AF5" s="708"/>
      <c r="AG5" s="708"/>
      <c r="AH5" s="708"/>
      <c r="AI5" s="708"/>
      <c r="AJ5" s="708"/>
      <c r="AK5" s="708"/>
      <c r="AL5" s="778"/>
    </row>
    <row r="6" spans="1:38" ht="18.75" x14ac:dyDescent="0.25">
      <c r="L6" s="27"/>
      <c r="M6" s="27"/>
      <c r="N6" s="27"/>
      <c r="O6" s="27"/>
      <c r="P6" s="27"/>
      <c r="Q6" s="27"/>
      <c r="R6" s="27"/>
      <c r="S6" s="27"/>
      <c r="T6" s="27"/>
      <c r="U6" s="27"/>
      <c r="V6" s="27"/>
      <c r="W6" s="27"/>
      <c r="X6" s="27"/>
      <c r="Y6" s="27"/>
      <c r="AB6" s="780" t="s">
        <v>85</v>
      </c>
      <c r="AC6" s="698"/>
      <c r="AD6" s="698"/>
      <c r="AE6" s="698"/>
      <c r="AF6" s="698"/>
      <c r="AG6" s="698"/>
      <c r="AH6" s="698"/>
      <c r="AI6" s="698"/>
      <c r="AJ6" s="698"/>
      <c r="AK6" s="698"/>
      <c r="AL6" s="714"/>
    </row>
    <row r="7" spans="1:38" ht="38.25" x14ac:dyDescent="0.25">
      <c r="A7" s="20" t="s">
        <v>59</v>
      </c>
      <c r="B7" s="28" t="s">
        <v>60</v>
      </c>
      <c r="C7" s="22" t="s">
        <v>86</v>
      </c>
      <c r="D7" s="29" t="s">
        <v>62</v>
      </c>
      <c r="E7" s="24" t="s">
        <v>87</v>
      </c>
      <c r="F7" s="28" t="s">
        <v>64</v>
      </c>
      <c r="G7" s="22" t="s">
        <v>88</v>
      </c>
      <c r="H7" s="29" t="s">
        <v>66</v>
      </c>
      <c r="I7" s="24" t="s">
        <v>89</v>
      </c>
      <c r="J7" s="30" t="s">
        <v>68</v>
      </c>
      <c r="K7" s="25" t="s">
        <v>90</v>
      </c>
      <c r="L7" s="31" t="s">
        <v>70</v>
      </c>
      <c r="M7" s="26" t="s">
        <v>91</v>
      </c>
      <c r="N7" s="30" t="s">
        <v>72</v>
      </c>
      <c r="O7" s="25" t="s">
        <v>92</v>
      </c>
      <c r="P7" s="31" t="s">
        <v>74</v>
      </c>
      <c r="Q7" s="26" t="s">
        <v>75</v>
      </c>
      <c r="R7" s="30" t="s">
        <v>76</v>
      </c>
      <c r="S7" s="25" t="s">
        <v>77</v>
      </c>
      <c r="T7" s="31" t="s">
        <v>78</v>
      </c>
      <c r="U7" s="26" t="s">
        <v>79</v>
      </c>
      <c r="V7" s="30" t="s">
        <v>80</v>
      </c>
      <c r="W7" s="25" t="s">
        <v>81</v>
      </c>
      <c r="X7" s="31" t="s">
        <v>82</v>
      </c>
      <c r="Y7" s="26" t="s">
        <v>83</v>
      </c>
    </row>
    <row r="8" spans="1:38" ht="60" customHeight="1" x14ac:dyDescent="0.25">
      <c r="A8" s="32" t="s">
        <v>93</v>
      </c>
      <c r="B8" s="33"/>
      <c r="C8" s="34"/>
      <c r="D8" s="35"/>
      <c r="E8" s="36"/>
      <c r="F8" s="33"/>
      <c r="G8" s="34"/>
      <c r="H8" s="35"/>
      <c r="I8" s="36"/>
      <c r="J8" s="33"/>
      <c r="K8" s="34"/>
      <c r="L8" s="35"/>
      <c r="M8" s="36"/>
      <c r="N8" s="33"/>
      <c r="O8" s="34"/>
      <c r="P8" s="35"/>
      <c r="Q8" s="36"/>
      <c r="R8" s="33"/>
      <c r="S8" s="34"/>
      <c r="T8" s="35"/>
      <c r="U8" s="36"/>
      <c r="V8" s="33"/>
      <c r="W8" s="34"/>
      <c r="X8" s="35"/>
      <c r="Y8" s="36"/>
    </row>
    <row r="9" spans="1:38" ht="150" customHeight="1" x14ac:dyDescent="0.25">
      <c r="A9" s="37" t="s">
        <v>94</v>
      </c>
      <c r="B9" s="38"/>
      <c r="C9" s="39"/>
      <c r="D9" s="40"/>
      <c r="E9" s="41"/>
      <c r="F9" s="38"/>
      <c r="G9" s="39"/>
      <c r="H9" s="40"/>
      <c r="I9" s="41"/>
      <c r="J9" s="38"/>
      <c r="K9" s="39"/>
      <c r="L9" s="40"/>
      <c r="M9" s="41"/>
      <c r="N9" s="38"/>
      <c r="O9" s="39"/>
      <c r="P9" s="40"/>
      <c r="Q9" s="41"/>
      <c r="R9" s="38"/>
      <c r="S9" s="39"/>
      <c r="T9" s="40"/>
      <c r="U9" s="41"/>
      <c r="V9" s="38"/>
      <c r="W9" s="39"/>
      <c r="X9" s="40"/>
      <c r="Y9" s="41"/>
    </row>
    <row r="10" spans="1:38" ht="139.5" customHeight="1" x14ac:dyDescent="0.25">
      <c r="A10" s="37" t="s">
        <v>95</v>
      </c>
      <c r="B10" s="38"/>
      <c r="C10" s="39"/>
      <c r="D10" s="40"/>
      <c r="E10" s="41"/>
      <c r="F10" s="38"/>
      <c r="G10" s="39"/>
      <c r="H10" s="40"/>
      <c r="I10" s="41"/>
      <c r="J10" s="38"/>
      <c r="K10" s="39"/>
      <c r="L10" s="40"/>
      <c r="M10" s="41"/>
      <c r="N10" s="38"/>
      <c r="O10" s="39"/>
      <c r="P10" s="40"/>
      <c r="Q10" s="41"/>
      <c r="R10" s="38"/>
      <c r="S10" s="39"/>
      <c r="T10" s="40"/>
      <c r="U10" s="41"/>
      <c r="V10" s="38"/>
      <c r="W10" s="39"/>
      <c r="X10" s="40"/>
      <c r="Y10" s="41"/>
    </row>
    <row r="11" spans="1:38" ht="120" customHeight="1" x14ac:dyDescent="0.25">
      <c r="A11" s="37" t="s">
        <v>96</v>
      </c>
      <c r="B11" s="38"/>
      <c r="C11" s="39"/>
      <c r="D11" s="40"/>
      <c r="E11" s="41"/>
      <c r="F11" s="38"/>
      <c r="G11" s="39"/>
      <c r="H11" s="40"/>
      <c r="I11" s="41"/>
      <c r="J11" s="38"/>
      <c r="K11" s="39"/>
      <c r="L11" s="40"/>
      <c r="M11" s="41"/>
      <c r="N11" s="38"/>
      <c r="O11" s="39"/>
      <c r="P11" s="40"/>
      <c r="Q11" s="41"/>
      <c r="R11" s="38"/>
      <c r="S11" s="39"/>
      <c r="T11" s="40"/>
      <c r="U11" s="41"/>
      <c r="V11" s="38"/>
      <c r="W11" s="39"/>
      <c r="X11" s="40"/>
      <c r="Y11" s="41"/>
    </row>
    <row r="12" spans="1:38" ht="60" customHeight="1" x14ac:dyDescent="0.25">
      <c r="A12" s="37" t="s">
        <v>97</v>
      </c>
      <c r="B12" s="38"/>
      <c r="C12" s="39"/>
      <c r="D12" s="40"/>
      <c r="E12" s="41"/>
      <c r="F12" s="38"/>
      <c r="G12" s="39"/>
      <c r="H12" s="40"/>
      <c r="I12" s="41"/>
      <c r="J12" s="38"/>
      <c r="K12" s="39"/>
      <c r="L12" s="40"/>
      <c r="M12" s="41"/>
      <c r="N12" s="38"/>
      <c r="O12" s="39"/>
      <c r="P12" s="40"/>
      <c r="Q12" s="41"/>
      <c r="R12" s="38"/>
      <c r="S12" s="39"/>
      <c r="T12" s="40"/>
      <c r="U12" s="41"/>
      <c r="V12" s="38"/>
      <c r="W12" s="39"/>
      <c r="X12" s="40"/>
      <c r="Y12" s="41"/>
    </row>
    <row r="13" spans="1:38" ht="60" customHeight="1" x14ac:dyDescent="0.25">
      <c r="A13" s="37" t="s">
        <v>98</v>
      </c>
      <c r="B13" s="38"/>
      <c r="C13" s="39"/>
      <c r="D13" s="40"/>
      <c r="E13" s="41"/>
      <c r="F13" s="38"/>
      <c r="G13" s="39"/>
      <c r="H13" s="40"/>
      <c r="I13" s="41"/>
      <c r="J13" s="38"/>
      <c r="K13" s="39"/>
      <c r="L13" s="40"/>
      <c r="M13" s="41"/>
      <c r="N13" s="38"/>
      <c r="O13" s="39"/>
      <c r="P13" s="40"/>
      <c r="Q13" s="41"/>
      <c r="R13" s="38"/>
      <c r="S13" s="39"/>
      <c r="T13" s="40"/>
      <c r="U13" s="41"/>
      <c r="V13" s="38"/>
      <c r="W13" s="39"/>
      <c r="X13" s="40"/>
      <c r="Y13" s="41"/>
    </row>
    <row r="14" spans="1:38" ht="60" customHeight="1" x14ac:dyDescent="0.25">
      <c r="A14" s="37" t="s">
        <v>99</v>
      </c>
      <c r="B14" s="38"/>
      <c r="C14" s="39"/>
      <c r="D14" s="40"/>
      <c r="E14" s="41"/>
      <c r="F14" s="38"/>
      <c r="G14" s="39"/>
      <c r="H14" s="40"/>
      <c r="I14" s="41"/>
      <c r="J14" s="38"/>
      <c r="K14" s="39"/>
      <c r="L14" s="40"/>
      <c r="M14" s="41"/>
      <c r="N14" s="38"/>
      <c r="O14" s="39"/>
      <c r="P14" s="40"/>
      <c r="Q14" s="41"/>
      <c r="R14" s="38"/>
      <c r="S14" s="39"/>
      <c r="T14" s="40"/>
      <c r="U14" s="41"/>
      <c r="V14" s="38"/>
      <c r="W14" s="39"/>
      <c r="X14" s="40"/>
      <c r="Y14" s="41"/>
    </row>
    <row r="15" spans="1:38" ht="60" customHeight="1" x14ac:dyDescent="0.25">
      <c r="A15" s="37" t="s">
        <v>100</v>
      </c>
      <c r="B15" s="38"/>
      <c r="C15" s="39"/>
      <c r="D15" s="40"/>
      <c r="E15" s="41"/>
      <c r="F15" s="38"/>
      <c r="G15" s="39"/>
      <c r="H15" s="40"/>
      <c r="I15" s="41"/>
      <c r="J15" s="38"/>
      <c r="K15" s="39"/>
      <c r="L15" s="40"/>
      <c r="M15" s="41"/>
      <c r="N15" s="38"/>
      <c r="O15" s="39"/>
      <c r="P15" s="40"/>
      <c r="Q15" s="41"/>
      <c r="R15" s="38"/>
      <c r="S15" s="39"/>
      <c r="T15" s="40"/>
      <c r="U15" s="41"/>
      <c r="V15" s="38"/>
      <c r="W15" s="39"/>
      <c r="X15" s="40"/>
      <c r="Y15" s="41"/>
    </row>
    <row r="16" spans="1:38" ht="99.75" customHeight="1" x14ac:dyDescent="0.25">
      <c r="A16" s="37" t="s">
        <v>101</v>
      </c>
      <c r="B16" s="38"/>
      <c r="C16" s="39"/>
      <c r="D16" s="40"/>
      <c r="E16" s="41"/>
      <c r="F16" s="38"/>
      <c r="G16" s="39"/>
      <c r="H16" s="40"/>
      <c r="I16" s="41"/>
      <c r="J16" s="38"/>
      <c r="K16" s="39"/>
      <c r="L16" s="40"/>
      <c r="M16" s="41"/>
      <c r="N16" s="38"/>
      <c r="O16" s="39"/>
      <c r="P16" s="40"/>
      <c r="Q16" s="41"/>
      <c r="R16" s="38"/>
      <c r="S16" s="39"/>
      <c r="T16" s="40"/>
      <c r="U16" s="41"/>
      <c r="V16" s="38"/>
      <c r="W16" s="39"/>
      <c r="X16" s="40"/>
      <c r="Y16" s="41"/>
    </row>
    <row r="17" spans="1:25" ht="60" customHeight="1" x14ac:dyDescent="0.25">
      <c r="A17" s="37" t="s">
        <v>102</v>
      </c>
      <c r="B17" s="38"/>
      <c r="C17" s="39"/>
      <c r="D17" s="40"/>
      <c r="E17" s="41"/>
      <c r="F17" s="38"/>
      <c r="G17" s="39"/>
      <c r="H17" s="40"/>
      <c r="I17" s="41"/>
      <c r="J17" s="38"/>
      <c r="K17" s="39"/>
      <c r="L17" s="40"/>
      <c r="M17" s="41"/>
      <c r="N17" s="38"/>
      <c r="O17" s="39"/>
      <c r="P17" s="40"/>
      <c r="Q17" s="41"/>
      <c r="R17" s="38"/>
      <c r="S17" s="39"/>
      <c r="T17" s="40"/>
      <c r="U17" s="41"/>
      <c r="V17" s="38"/>
      <c r="W17" s="39"/>
      <c r="X17" s="40"/>
      <c r="Y17" s="41"/>
    </row>
    <row r="18" spans="1:25" ht="60" customHeight="1" x14ac:dyDescent="0.25">
      <c r="A18" s="37" t="s">
        <v>103</v>
      </c>
      <c r="B18" s="38"/>
      <c r="C18" s="39"/>
      <c r="D18" s="40"/>
      <c r="E18" s="41"/>
      <c r="F18" s="38"/>
      <c r="G18" s="39"/>
      <c r="H18" s="40"/>
      <c r="I18" s="41"/>
      <c r="J18" s="38"/>
      <c r="K18" s="39"/>
      <c r="L18" s="40"/>
      <c r="M18" s="41"/>
      <c r="N18" s="38"/>
      <c r="O18" s="39"/>
      <c r="P18" s="40"/>
      <c r="Q18" s="41"/>
      <c r="R18" s="38"/>
      <c r="S18" s="39"/>
      <c r="T18" s="40"/>
      <c r="U18" s="41"/>
      <c r="V18" s="38"/>
      <c r="W18" s="39"/>
      <c r="X18" s="40"/>
      <c r="Y18" s="41"/>
    </row>
    <row r="19" spans="1:25" ht="60" customHeight="1" x14ac:dyDescent="0.25">
      <c r="A19" s="37" t="s">
        <v>104</v>
      </c>
      <c r="B19" s="38"/>
      <c r="C19" s="39"/>
      <c r="D19" s="40"/>
      <c r="E19" s="41"/>
      <c r="F19" s="38"/>
      <c r="G19" s="39"/>
      <c r="H19" s="40"/>
      <c r="I19" s="41"/>
      <c r="J19" s="38"/>
      <c r="K19" s="39"/>
      <c r="L19" s="40"/>
      <c r="M19" s="41"/>
      <c r="N19" s="38"/>
      <c r="O19" s="39"/>
      <c r="P19" s="40"/>
      <c r="Q19" s="41"/>
      <c r="R19" s="38"/>
      <c r="S19" s="39"/>
      <c r="T19" s="40"/>
      <c r="U19" s="41"/>
      <c r="V19" s="38"/>
      <c r="W19" s="39"/>
      <c r="X19" s="40"/>
      <c r="Y19" s="41"/>
    </row>
    <row r="20" spans="1:25" ht="60" customHeight="1" x14ac:dyDescent="0.25">
      <c r="A20" s="37" t="s">
        <v>105</v>
      </c>
      <c r="B20" s="38"/>
      <c r="C20" s="39"/>
      <c r="D20" s="40"/>
      <c r="E20" s="41"/>
      <c r="F20" s="38"/>
      <c r="G20" s="39"/>
      <c r="H20" s="40"/>
      <c r="I20" s="41"/>
      <c r="J20" s="38"/>
      <c r="K20" s="39"/>
      <c r="L20" s="40"/>
      <c r="M20" s="41"/>
      <c r="N20" s="38"/>
      <c r="O20" s="39"/>
      <c r="P20" s="40"/>
      <c r="Q20" s="41"/>
      <c r="R20" s="38"/>
      <c r="S20" s="39"/>
      <c r="T20" s="40"/>
      <c r="U20" s="41"/>
      <c r="V20" s="38"/>
      <c r="W20" s="39"/>
      <c r="X20" s="40"/>
      <c r="Y20" s="41"/>
    </row>
    <row r="21" spans="1:25" ht="60" customHeight="1" x14ac:dyDescent="0.25">
      <c r="A21" s="37" t="s">
        <v>106</v>
      </c>
      <c r="B21" s="38"/>
      <c r="C21" s="39"/>
      <c r="D21" s="40"/>
      <c r="E21" s="41"/>
      <c r="F21" s="38"/>
      <c r="G21" s="39"/>
      <c r="H21" s="40"/>
      <c r="I21" s="41"/>
      <c r="J21" s="38"/>
      <c r="K21" s="39"/>
      <c r="L21" s="40"/>
      <c r="M21" s="41"/>
      <c r="N21" s="38"/>
      <c r="O21" s="39"/>
      <c r="P21" s="40"/>
      <c r="Q21" s="41"/>
      <c r="R21" s="38"/>
      <c r="S21" s="39"/>
      <c r="T21" s="40"/>
      <c r="U21" s="41"/>
      <c r="V21" s="38"/>
      <c r="W21" s="39"/>
      <c r="X21" s="40"/>
      <c r="Y21" s="41"/>
    </row>
    <row r="22" spans="1:25" ht="60" customHeight="1" x14ac:dyDescent="0.25">
      <c r="A22" s="37" t="s">
        <v>107</v>
      </c>
      <c r="B22" s="38"/>
      <c r="C22" s="39"/>
      <c r="D22" s="40"/>
      <c r="E22" s="41"/>
      <c r="F22" s="38"/>
      <c r="G22" s="39"/>
      <c r="H22" s="40"/>
      <c r="I22" s="41"/>
      <c r="J22" s="38"/>
      <c r="K22" s="39"/>
      <c r="L22" s="40"/>
      <c r="M22" s="41"/>
      <c r="N22" s="38"/>
      <c r="O22" s="39"/>
      <c r="P22" s="40"/>
      <c r="Q22" s="41"/>
      <c r="R22" s="38"/>
      <c r="S22" s="39"/>
      <c r="T22" s="40"/>
      <c r="U22" s="41"/>
      <c r="V22" s="38"/>
      <c r="W22" s="39"/>
      <c r="X22" s="40"/>
      <c r="Y22" s="41"/>
    </row>
    <row r="23" spans="1:25" ht="60" customHeight="1" x14ac:dyDescent="0.25">
      <c r="A23" s="37" t="s">
        <v>108</v>
      </c>
      <c r="B23" s="38"/>
      <c r="C23" s="39"/>
      <c r="D23" s="40"/>
      <c r="E23" s="41"/>
      <c r="F23" s="38"/>
      <c r="G23" s="39"/>
      <c r="H23" s="40"/>
      <c r="I23" s="41"/>
      <c r="J23" s="38"/>
      <c r="K23" s="39"/>
      <c r="L23" s="40"/>
      <c r="M23" s="41"/>
      <c r="N23" s="38"/>
      <c r="O23" s="39"/>
      <c r="P23" s="40"/>
      <c r="Q23" s="41"/>
      <c r="R23" s="38"/>
      <c r="S23" s="39"/>
      <c r="T23" s="40"/>
      <c r="U23" s="41"/>
      <c r="V23" s="38"/>
      <c r="W23" s="39"/>
      <c r="X23" s="40"/>
      <c r="Y23" s="41"/>
    </row>
    <row r="24" spans="1:25" ht="60" customHeight="1" x14ac:dyDescent="0.25">
      <c r="A24" s="37" t="s">
        <v>109</v>
      </c>
      <c r="B24" s="38"/>
      <c r="C24" s="39"/>
      <c r="D24" s="40"/>
      <c r="E24" s="41"/>
      <c r="F24" s="38"/>
      <c r="G24" s="39"/>
      <c r="H24" s="40"/>
      <c r="I24" s="41"/>
      <c r="J24" s="38"/>
      <c r="K24" s="39"/>
      <c r="L24" s="40"/>
      <c r="M24" s="41"/>
      <c r="N24" s="38"/>
      <c r="O24" s="39"/>
      <c r="P24" s="40"/>
      <c r="Q24" s="41"/>
      <c r="R24" s="38"/>
      <c r="S24" s="39"/>
      <c r="T24" s="40"/>
      <c r="U24" s="41"/>
      <c r="V24" s="38"/>
      <c r="W24" s="39"/>
      <c r="X24" s="40"/>
      <c r="Y24" s="41"/>
    </row>
    <row r="25" spans="1:25" ht="60" customHeight="1" x14ac:dyDescent="0.25">
      <c r="A25" s="37" t="s">
        <v>110</v>
      </c>
      <c r="B25" s="38"/>
      <c r="C25" s="39"/>
      <c r="D25" s="40"/>
      <c r="E25" s="41"/>
      <c r="F25" s="38"/>
      <c r="G25" s="39"/>
      <c r="H25" s="40"/>
      <c r="I25" s="41"/>
      <c r="J25" s="38"/>
      <c r="K25" s="39"/>
      <c r="L25" s="40"/>
      <c r="M25" s="41"/>
      <c r="N25" s="38"/>
      <c r="O25" s="39"/>
      <c r="P25" s="40"/>
      <c r="Q25" s="41"/>
      <c r="R25" s="38"/>
      <c r="S25" s="39"/>
      <c r="T25" s="40"/>
      <c r="U25" s="41"/>
      <c r="V25" s="38"/>
      <c r="W25" s="39"/>
      <c r="X25" s="40"/>
      <c r="Y25" s="41"/>
    </row>
    <row r="26" spans="1:25" ht="15.75" customHeight="1" x14ac:dyDescent="0.25"/>
    <row r="27" spans="1:25" ht="15.75" customHeight="1" x14ac:dyDescent="0.25"/>
    <row r="28" spans="1:25" ht="15.75" customHeight="1" x14ac:dyDescent="0.25"/>
    <row r="29" spans="1:25" ht="15.75" customHeight="1" x14ac:dyDescent="0.25"/>
    <row r="30" spans="1:25" ht="15.75" customHeight="1" x14ac:dyDescent="0.25"/>
    <row r="31" spans="1:25" ht="15.75" customHeight="1" x14ac:dyDescent="0.25"/>
    <row r="32" spans="1:2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B2:AL2"/>
    <mergeCell ref="AB3:AL3"/>
    <mergeCell ref="AB4:AL4"/>
    <mergeCell ref="AB5:AL5"/>
    <mergeCell ref="AB6:AL6"/>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'Pick List '!$G$163:$G$166</xm:f>
          </x14:formula1>
          <xm:sqref>B8:B25 D8:D25 F8:F25 H8:H25 J8:J25 L8:L25 N8:N25 P8:P25 R8:R25 T8:T25 V8:V25 X8:X25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33C0B"/>
  </sheetPr>
  <dimension ref="A1:S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8.7109375" customWidth="1"/>
    <col min="2" max="13" width="12.140625" customWidth="1"/>
    <col min="14" max="14" width="12.85546875" customWidth="1"/>
    <col min="15" max="15" width="13.28515625" customWidth="1"/>
    <col min="16" max="17" width="12.140625" customWidth="1"/>
    <col min="18" max="26" width="8.7109375" customWidth="1"/>
  </cols>
  <sheetData>
    <row r="1" spans="1:19" ht="39.75" customHeight="1" x14ac:dyDescent="0.25">
      <c r="A1" s="43" t="s">
        <v>27</v>
      </c>
      <c r="B1" s="44" t="s">
        <v>113</v>
      </c>
      <c r="C1" s="781" t="s">
        <v>114</v>
      </c>
      <c r="D1" s="782"/>
      <c r="E1" s="782"/>
      <c r="F1" s="782"/>
      <c r="G1" s="782"/>
      <c r="H1" s="782"/>
      <c r="I1" s="783"/>
      <c r="J1" s="781" t="s">
        <v>115</v>
      </c>
      <c r="K1" s="783"/>
      <c r="L1" s="781" t="s">
        <v>116</v>
      </c>
      <c r="M1" s="783"/>
      <c r="N1" s="781" t="s">
        <v>117</v>
      </c>
      <c r="O1" s="783"/>
      <c r="P1" s="781" t="s">
        <v>118</v>
      </c>
      <c r="Q1" s="784"/>
    </row>
    <row r="2" spans="1:19" ht="15.75" x14ac:dyDescent="0.25">
      <c r="A2" s="785" t="str">
        <f>'BASE GRANTEE INFO &amp; UPDATES'!A1</f>
        <v>WV Bureau For Behavioral Health - Harm Reduction 2025</v>
      </c>
      <c r="B2" s="705"/>
      <c r="C2" s="705"/>
      <c r="D2" s="705"/>
      <c r="E2" s="705"/>
      <c r="F2" s="705"/>
      <c r="G2" s="705"/>
      <c r="H2" s="705"/>
      <c r="I2" s="705"/>
      <c r="J2" s="705"/>
      <c r="K2" s="705"/>
      <c r="L2" s="705"/>
      <c r="M2" s="705"/>
      <c r="N2" s="705"/>
      <c r="O2" s="705"/>
      <c r="P2" s="705"/>
      <c r="Q2" s="706"/>
    </row>
    <row r="3" spans="1:19" ht="15.75" x14ac:dyDescent="0.25">
      <c r="A3" s="786">
        <f>'BASE GRANTEE INFO &amp; UPDATES'!A2</f>
        <v>0</v>
      </c>
      <c r="B3" s="708"/>
      <c r="C3" s="708"/>
      <c r="D3" s="708"/>
      <c r="E3" s="708"/>
      <c r="F3" s="708"/>
      <c r="G3" s="708"/>
      <c r="H3" s="708"/>
      <c r="I3" s="708"/>
      <c r="J3" s="708"/>
      <c r="K3" s="708"/>
      <c r="L3" s="708"/>
      <c r="M3" s="708"/>
      <c r="N3" s="708"/>
      <c r="O3" s="708"/>
      <c r="P3" s="708"/>
      <c r="Q3" s="778"/>
    </row>
    <row r="4" spans="1:19" ht="15.75" x14ac:dyDescent="0.25">
      <c r="A4" s="787" t="str">
        <f>'BASE GRANTEE INFO &amp; UPDATES'!A3</f>
        <v xml:space="preserve">Program reports need to be submitted electronically, via e-mail to BBHReporting@wv.gov  within 25 calendar days of the end of each month </v>
      </c>
      <c r="B4" s="708"/>
      <c r="C4" s="708"/>
      <c r="D4" s="708"/>
      <c r="E4" s="708"/>
      <c r="F4" s="708"/>
      <c r="G4" s="708"/>
      <c r="H4" s="708"/>
      <c r="I4" s="708"/>
      <c r="J4" s="708"/>
      <c r="K4" s="708"/>
      <c r="L4" s="708"/>
      <c r="M4" s="708"/>
      <c r="N4" s="708"/>
      <c r="O4" s="708"/>
      <c r="P4" s="708"/>
      <c r="Q4" s="778"/>
    </row>
    <row r="5" spans="1:19" ht="18.75" x14ac:dyDescent="0.25">
      <c r="A5" s="788" t="s">
        <v>119</v>
      </c>
      <c r="B5" s="708"/>
      <c r="C5" s="708"/>
      <c r="D5" s="708"/>
      <c r="E5" s="708"/>
      <c r="F5" s="708"/>
      <c r="G5" s="708"/>
      <c r="H5" s="708"/>
      <c r="I5" s="708"/>
      <c r="J5" s="708"/>
      <c r="K5" s="708"/>
      <c r="L5" s="708"/>
      <c r="M5" s="708"/>
      <c r="N5" s="708"/>
      <c r="O5" s="708"/>
      <c r="P5" s="708"/>
      <c r="Q5" s="778"/>
    </row>
    <row r="6" spans="1:19" x14ac:dyDescent="0.25">
      <c r="A6" s="790" t="s">
        <v>120</v>
      </c>
      <c r="B6" s="698"/>
      <c r="C6" s="698"/>
      <c r="D6" s="699"/>
      <c r="E6" s="794">
        <f>'2GENERAL PROGRAM INFORMATION'!E5</f>
        <v>0</v>
      </c>
      <c r="F6" s="698"/>
      <c r="G6" s="698"/>
      <c r="H6" s="699"/>
      <c r="I6" s="795" t="s">
        <v>0</v>
      </c>
      <c r="J6" s="698"/>
      <c r="K6" s="698"/>
      <c r="L6" s="699"/>
      <c r="M6" s="796">
        <f>'BASE GRANTEE INFO &amp; UPDATES'!M5</f>
        <v>0</v>
      </c>
      <c r="N6" s="698"/>
      <c r="O6" s="698"/>
      <c r="P6" s="698"/>
      <c r="Q6" s="699"/>
    </row>
    <row r="7" spans="1:19" x14ac:dyDescent="0.25">
      <c r="A7" s="790" t="s">
        <v>121</v>
      </c>
      <c r="B7" s="698"/>
      <c r="C7" s="698"/>
      <c r="D7" s="699"/>
      <c r="E7" s="797">
        <f>'BASE GRANTEE INFO &amp; UPDATES'!E6</f>
        <v>0</v>
      </c>
      <c r="F7" s="698"/>
      <c r="G7" s="698"/>
      <c r="H7" s="699"/>
      <c r="I7" s="795" t="s">
        <v>1</v>
      </c>
      <c r="J7" s="698"/>
      <c r="K7" s="698"/>
      <c r="L7" s="699"/>
      <c r="M7" s="796">
        <f>'BASE GRANTEE INFO &amp; UPDATES'!M6</f>
        <v>0</v>
      </c>
      <c r="N7" s="698"/>
      <c r="O7" s="698"/>
      <c r="P7" s="698"/>
      <c r="Q7" s="699"/>
    </row>
    <row r="8" spans="1:19" x14ac:dyDescent="0.25">
      <c r="A8" s="789" t="s">
        <v>2</v>
      </c>
      <c r="B8" s="766"/>
      <c r="C8" s="766"/>
      <c r="D8" s="767"/>
      <c r="E8" s="798">
        <f>'BASE GRANTEE INFO &amp; UPDATES'!E7</f>
        <v>0</v>
      </c>
      <c r="F8" s="766"/>
      <c r="G8" s="766"/>
      <c r="H8" s="767"/>
      <c r="I8" s="795" t="s">
        <v>3</v>
      </c>
      <c r="J8" s="698"/>
      <c r="K8" s="698"/>
      <c r="L8" s="699"/>
      <c r="M8" s="796">
        <f>'BASE GRANTEE INFO &amp; UPDATES'!M7</f>
        <v>0</v>
      </c>
      <c r="N8" s="698"/>
      <c r="O8" s="698"/>
      <c r="P8" s="698"/>
      <c r="Q8" s="699"/>
    </row>
    <row r="9" spans="1:19" x14ac:dyDescent="0.25">
      <c r="A9" s="768"/>
      <c r="B9" s="769"/>
      <c r="C9" s="769"/>
      <c r="D9" s="770"/>
      <c r="E9" s="768"/>
      <c r="F9" s="769"/>
      <c r="G9" s="769"/>
      <c r="H9" s="770"/>
      <c r="I9" s="792" t="s">
        <v>122</v>
      </c>
      <c r="J9" s="698"/>
      <c r="K9" s="698"/>
      <c r="L9" s="699"/>
      <c r="M9" s="796">
        <f>'BASE GRANTEE INFO &amp; UPDATES'!M8</f>
        <v>0</v>
      </c>
      <c r="N9" s="698"/>
      <c r="O9" s="698"/>
      <c r="P9" s="698"/>
      <c r="Q9" s="699"/>
    </row>
    <row r="10" spans="1:19" x14ac:dyDescent="0.25">
      <c r="A10" s="790" t="s">
        <v>123</v>
      </c>
      <c r="B10" s="698"/>
      <c r="C10" s="698"/>
      <c r="D10" s="699"/>
      <c r="E10" s="791" t="str">
        <f>'BASE GRANTEE INFO &amp; UPDATES'!E9</f>
        <v>September 1 - 30</v>
      </c>
      <c r="F10" s="699"/>
      <c r="G10" s="791">
        <f>'BASE GRANTEE INFO &amp; UPDATES'!G9</f>
        <v>2024</v>
      </c>
      <c r="H10" s="699"/>
      <c r="I10" s="792" t="s">
        <v>124</v>
      </c>
      <c r="J10" s="698"/>
      <c r="K10" s="698"/>
      <c r="L10" s="699"/>
      <c r="M10" s="796">
        <f>'BASE GRANTEE INFO &amp; UPDATES'!M9</f>
        <v>0</v>
      </c>
      <c r="N10" s="698"/>
      <c r="O10" s="698"/>
      <c r="P10" s="698"/>
      <c r="Q10" s="699"/>
    </row>
    <row r="11" spans="1:19" ht="18.75" x14ac:dyDescent="0.25">
      <c r="A11" s="788" t="s">
        <v>125</v>
      </c>
      <c r="B11" s="708"/>
      <c r="C11" s="708"/>
      <c r="D11" s="708"/>
      <c r="E11" s="708"/>
      <c r="F11" s="708"/>
      <c r="G11" s="708"/>
      <c r="H11" s="708"/>
      <c r="I11" s="708"/>
      <c r="J11" s="708"/>
      <c r="K11" s="708"/>
      <c r="L11" s="708"/>
      <c r="M11" s="708"/>
      <c r="N11" s="708"/>
      <c r="O11" s="708"/>
      <c r="P11" s="708"/>
      <c r="Q11" s="778"/>
    </row>
    <row r="12" spans="1:19" ht="49.5" customHeight="1" x14ac:dyDescent="0.25">
      <c r="A12" s="45" t="s">
        <v>27</v>
      </c>
      <c r="B12" s="46" t="s">
        <v>113</v>
      </c>
      <c r="C12" s="793" t="s">
        <v>114</v>
      </c>
      <c r="D12" s="782"/>
      <c r="E12" s="782"/>
      <c r="F12" s="782"/>
      <c r="G12" s="782"/>
      <c r="H12" s="782"/>
      <c r="I12" s="783"/>
      <c r="J12" s="793" t="s">
        <v>115</v>
      </c>
      <c r="K12" s="783"/>
      <c r="L12" s="803" t="s">
        <v>126</v>
      </c>
      <c r="M12" s="783"/>
      <c r="N12" s="793" t="s">
        <v>127</v>
      </c>
      <c r="O12" s="783"/>
      <c r="P12" s="793" t="s">
        <v>118</v>
      </c>
      <c r="Q12" s="784"/>
    </row>
    <row r="13" spans="1:19" ht="24.75" customHeight="1" x14ac:dyDescent="0.25">
      <c r="A13" s="47">
        <f t="shared" ref="A13:A112" si="0">ROW(A1)</f>
        <v>1</v>
      </c>
      <c r="B13" s="48">
        <v>44440</v>
      </c>
      <c r="C13" s="804" t="s">
        <v>12</v>
      </c>
      <c r="D13" s="805"/>
      <c r="E13" s="805"/>
      <c r="F13" s="805"/>
      <c r="G13" s="805"/>
      <c r="H13" s="805"/>
      <c r="I13" s="806"/>
      <c r="J13" s="800" t="s">
        <v>128</v>
      </c>
      <c r="K13" s="770"/>
      <c r="L13" s="801" t="s">
        <v>129</v>
      </c>
      <c r="M13" s="770"/>
      <c r="N13" s="802">
        <v>2</v>
      </c>
      <c r="O13" s="770"/>
      <c r="P13" s="802" t="s">
        <v>129</v>
      </c>
      <c r="Q13" s="770"/>
    </row>
    <row r="14" spans="1:19" ht="24.75" customHeight="1" x14ac:dyDescent="0.25">
      <c r="A14" s="47">
        <f t="shared" si="0"/>
        <v>2</v>
      </c>
      <c r="B14" s="48">
        <v>44470</v>
      </c>
      <c r="C14" s="799" t="s">
        <v>12</v>
      </c>
      <c r="D14" s="698"/>
      <c r="E14" s="698"/>
      <c r="F14" s="698"/>
      <c r="G14" s="698"/>
      <c r="H14" s="698"/>
      <c r="I14" s="699"/>
      <c r="J14" s="800" t="s">
        <v>130</v>
      </c>
      <c r="K14" s="770"/>
      <c r="L14" s="801" t="s">
        <v>129</v>
      </c>
      <c r="M14" s="770"/>
      <c r="N14" s="802">
        <v>3</v>
      </c>
      <c r="O14" s="770"/>
      <c r="P14" s="802" t="s">
        <v>129</v>
      </c>
      <c r="Q14" s="770"/>
    </row>
    <row r="15" spans="1:19" ht="24.75" customHeight="1" x14ac:dyDescent="0.25">
      <c r="A15" s="47">
        <f t="shared" si="0"/>
        <v>3</v>
      </c>
      <c r="B15" s="48">
        <v>44501</v>
      </c>
      <c r="C15" s="799" t="s">
        <v>12</v>
      </c>
      <c r="D15" s="698"/>
      <c r="E15" s="698"/>
      <c r="F15" s="698"/>
      <c r="G15" s="698"/>
      <c r="H15" s="698"/>
      <c r="I15" s="699"/>
      <c r="J15" s="800" t="s">
        <v>131</v>
      </c>
      <c r="K15" s="770"/>
      <c r="L15" s="801" t="s">
        <v>129</v>
      </c>
      <c r="M15" s="770"/>
      <c r="N15" s="802">
        <v>4</v>
      </c>
      <c r="O15" s="770"/>
      <c r="P15" s="802" t="s">
        <v>129</v>
      </c>
      <c r="Q15" s="770"/>
      <c r="S15" s="49" t="s">
        <v>132</v>
      </c>
    </row>
    <row r="16" spans="1:19" ht="24.75" customHeight="1" x14ac:dyDescent="0.25">
      <c r="A16" s="47">
        <f t="shared" si="0"/>
        <v>4</v>
      </c>
      <c r="B16" s="48">
        <v>44531</v>
      </c>
      <c r="C16" s="799" t="s">
        <v>12</v>
      </c>
      <c r="D16" s="698"/>
      <c r="E16" s="698"/>
      <c r="F16" s="698"/>
      <c r="G16" s="698"/>
      <c r="H16" s="698"/>
      <c r="I16" s="699"/>
      <c r="J16" s="800" t="s">
        <v>133</v>
      </c>
      <c r="K16" s="770"/>
      <c r="L16" s="801" t="s">
        <v>129</v>
      </c>
      <c r="M16" s="770"/>
      <c r="N16" s="802">
        <v>5</v>
      </c>
      <c r="O16" s="770"/>
      <c r="P16" s="802" t="s">
        <v>129</v>
      </c>
      <c r="Q16" s="770"/>
    </row>
    <row r="17" spans="1:17" ht="24.75" customHeight="1" x14ac:dyDescent="0.25">
      <c r="A17" s="47">
        <f t="shared" si="0"/>
        <v>5</v>
      </c>
      <c r="B17" s="48">
        <v>44562</v>
      </c>
      <c r="C17" s="799" t="s">
        <v>12</v>
      </c>
      <c r="D17" s="698"/>
      <c r="E17" s="698"/>
      <c r="F17" s="698"/>
      <c r="G17" s="698"/>
      <c r="H17" s="698"/>
      <c r="I17" s="699"/>
      <c r="J17" s="800" t="s">
        <v>134</v>
      </c>
      <c r="K17" s="770"/>
      <c r="L17" s="801" t="s">
        <v>129</v>
      </c>
      <c r="M17" s="770"/>
      <c r="N17" s="802">
        <v>6</v>
      </c>
      <c r="O17" s="770"/>
      <c r="P17" s="802" t="s">
        <v>129</v>
      </c>
      <c r="Q17" s="770"/>
    </row>
    <row r="18" spans="1:17" ht="24.75" customHeight="1" x14ac:dyDescent="0.25">
      <c r="A18" s="47">
        <f t="shared" si="0"/>
        <v>6</v>
      </c>
      <c r="B18" s="48">
        <v>44593</v>
      </c>
      <c r="C18" s="799" t="s">
        <v>12</v>
      </c>
      <c r="D18" s="698"/>
      <c r="E18" s="698"/>
      <c r="F18" s="698"/>
      <c r="G18" s="698"/>
      <c r="H18" s="698"/>
      <c r="I18" s="699"/>
      <c r="J18" s="800"/>
      <c r="K18" s="770"/>
      <c r="L18" s="801" t="s">
        <v>129</v>
      </c>
      <c r="M18" s="770"/>
      <c r="N18" s="802">
        <v>7</v>
      </c>
      <c r="O18" s="770"/>
      <c r="P18" s="802" t="s">
        <v>129</v>
      </c>
      <c r="Q18" s="770"/>
    </row>
    <row r="19" spans="1:17" ht="24.75" customHeight="1" x14ac:dyDescent="0.25">
      <c r="A19" s="47">
        <f t="shared" si="0"/>
        <v>7</v>
      </c>
      <c r="B19" s="48">
        <v>44621</v>
      </c>
      <c r="C19" s="799" t="s">
        <v>12</v>
      </c>
      <c r="D19" s="698"/>
      <c r="E19" s="698"/>
      <c r="F19" s="698"/>
      <c r="G19" s="698"/>
      <c r="H19" s="698"/>
      <c r="I19" s="699"/>
      <c r="J19" s="800"/>
      <c r="K19" s="770"/>
      <c r="L19" s="801" t="s">
        <v>129</v>
      </c>
      <c r="M19" s="770"/>
      <c r="N19" s="802">
        <v>8</v>
      </c>
      <c r="O19" s="770"/>
      <c r="P19" s="802" t="s">
        <v>129</v>
      </c>
      <c r="Q19" s="770"/>
    </row>
    <row r="20" spans="1:17" ht="24.75" customHeight="1" x14ac:dyDescent="0.25">
      <c r="A20" s="47">
        <f t="shared" si="0"/>
        <v>8</v>
      </c>
      <c r="B20" s="48">
        <v>44652</v>
      </c>
      <c r="C20" s="799" t="s">
        <v>12</v>
      </c>
      <c r="D20" s="698"/>
      <c r="E20" s="698"/>
      <c r="F20" s="698"/>
      <c r="G20" s="698"/>
      <c r="H20" s="698"/>
      <c r="I20" s="699"/>
      <c r="J20" s="800"/>
      <c r="K20" s="770"/>
      <c r="L20" s="801" t="s">
        <v>129</v>
      </c>
      <c r="M20" s="770"/>
      <c r="N20" s="802">
        <v>9</v>
      </c>
      <c r="O20" s="770"/>
      <c r="P20" s="802" t="s">
        <v>129</v>
      </c>
      <c r="Q20" s="770"/>
    </row>
    <row r="21" spans="1:17" ht="24.75" customHeight="1" x14ac:dyDescent="0.25">
      <c r="A21" s="47">
        <f t="shared" si="0"/>
        <v>9</v>
      </c>
      <c r="B21" s="48">
        <v>44682</v>
      </c>
      <c r="C21" s="799" t="s">
        <v>12</v>
      </c>
      <c r="D21" s="698"/>
      <c r="E21" s="698"/>
      <c r="F21" s="698"/>
      <c r="G21" s="698"/>
      <c r="H21" s="698"/>
      <c r="I21" s="699"/>
      <c r="J21" s="800"/>
      <c r="K21" s="770"/>
      <c r="L21" s="801" t="s">
        <v>129</v>
      </c>
      <c r="M21" s="770"/>
      <c r="N21" s="802">
        <v>10</v>
      </c>
      <c r="O21" s="770"/>
      <c r="P21" s="802" t="s">
        <v>129</v>
      </c>
      <c r="Q21" s="770"/>
    </row>
    <row r="22" spans="1:17" ht="24.75" customHeight="1" x14ac:dyDescent="0.25">
      <c r="A22" s="47">
        <f t="shared" si="0"/>
        <v>10</v>
      </c>
      <c r="B22" s="48">
        <v>44713</v>
      </c>
      <c r="C22" s="799" t="s">
        <v>12</v>
      </c>
      <c r="D22" s="698"/>
      <c r="E22" s="698"/>
      <c r="F22" s="698"/>
      <c r="G22" s="698"/>
      <c r="H22" s="698"/>
      <c r="I22" s="699"/>
      <c r="J22" s="800"/>
      <c r="K22" s="770"/>
      <c r="L22" s="801" t="s">
        <v>129</v>
      </c>
      <c r="M22" s="770"/>
      <c r="N22" s="802">
        <v>11</v>
      </c>
      <c r="O22" s="770"/>
      <c r="P22" s="802" t="s">
        <v>129</v>
      </c>
      <c r="Q22" s="770"/>
    </row>
    <row r="23" spans="1:17" ht="24.75" customHeight="1" x14ac:dyDescent="0.25">
      <c r="A23" s="47">
        <f t="shared" si="0"/>
        <v>11</v>
      </c>
      <c r="B23" s="48">
        <v>44743</v>
      </c>
      <c r="C23" s="799" t="s">
        <v>12</v>
      </c>
      <c r="D23" s="698"/>
      <c r="E23" s="698"/>
      <c r="F23" s="698"/>
      <c r="G23" s="698"/>
      <c r="H23" s="698"/>
      <c r="I23" s="699"/>
      <c r="J23" s="800"/>
      <c r="K23" s="770"/>
      <c r="L23" s="801" t="s">
        <v>129</v>
      </c>
      <c r="M23" s="770"/>
      <c r="N23" s="802">
        <v>12</v>
      </c>
      <c r="O23" s="770"/>
      <c r="P23" s="802" t="s">
        <v>129</v>
      </c>
      <c r="Q23" s="770"/>
    </row>
    <row r="24" spans="1:17" ht="24.75" customHeight="1" x14ac:dyDescent="0.25">
      <c r="A24" s="47">
        <f t="shared" si="0"/>
        <v>12</v>
      </c>
      <c r="B24" s="48">
        <v>44774</v>
      </c>
      <c r="C24" s="799" t="s">
        <v>12</v>
      </c>
      <c r="D24" s="698"/>
      <c r="E24" s="698"/>
      <c r="F24" s="698"/>
      <c r="G24" s="698"/>
      <c r="H24" s="698"/>
      <c r="I24" s="699"/>
      <c r="J24" s="800"/>
      <c r="K24" s="770"/>
      <c r="L24" s="801" t="s">
        <v>129</v>
      </c>
      <c r="M24" s="770"/>
      <c r="N24" s="802">
        <v>13</v>
      </c>
      <c r="O24" s="770"/>
      <c r="P24" s="802" t="s">
        <v>129</v>
      </c>
      <c r="Q24" s="770"/>
    </row>
    <row r="25" spans="1:17" ht="24.75" customHeight="1" x14ac:dyDescent="0.25">
      <c r="A25" s="47">
        <f t="shared" si="0"/>
        <v>13</v>
      </c>
      <c r="B25" s="48">
        <v>44805</v>
      </c>
      <c r="C25" s="799" t="s">
        <v>12</v>
      </c>
      <c r="D25" s="698"/>
      <c r="E25" s="698"/>
      <c r="F25" s="698"/>
      <c r="G25" s="698"/>
      <c r="H25" s="698"/>
      <c r="I25" s="699"/>
      <c r="J25" s="800"/>
      <c r="K25" s="770"/>
      <c r="L25" s="801" t="s">
        <v>129</v>
      </c>
      <c r="M25" s="770"/>
      <c r="N25" s="802">
        <v>14</v>
      </c>
      <c r="O25" s="770"/>
      <c r="P25" s="802" t="s">
        <v>129</v>
      </c>
      <c r="Q25" s="770"/>
    </row>
    <row r="26" spans="1:17" ht="24.75" customHeight="1" x14ac:dyDescent="0.25">
      <c r="A26" s="47">
        <f t="shared" si="0"/>
        <v>14</v>
      </c>
      <c r="B26" s="48">
        <v>44835</v>
      </c>
      <c r="C26" s="799" t="s">
        <v>12</v>
      </c>
      <c r="D26" s="698"/>
      <c r="E26" s="698"/>
      <c r="F26" s="698"/>
      <c r="G26" s="698"/>
      <c r="H26" s="698"/>
      <c r="I26" s="699"/>
      <c r="J26" s="800"/>
      <c r="K26" s="770"/>
      <c r="L26" s="801" t="s">
        <v>129</v>
      </c>
      <c r="M26" s="770"/>
      <c r="N26" s="802">
        <v>15</v>
      </c>
      <c r="O26" s="770"/>
      <c r="P26" s="802" t="s">
        <v>129</v>
      </c>
      <c r="Q26" s="770"/>
    </row>
    <row r="27" spans="1:17" ht="24.75" customHeight="1" x14ac:dyDescent="0.25">
      <c r="A27" s="47">
        <f t="shared" si="0"/>
        <v>15</v>
      </c>
      <c r="B27" s="48">
        <v>44866</v>
      </c>
      <c r="C27" s="799" t="s">
        <v>12</v>
      </c>
      <c r="D27" s="698"/>
      <c r="E27" s="698"/>
      <c r="F27" s="698"/>
      <c r="G27" s="698"/>
      <c r="H27" s="698"/>
      <c r="I27" s="699"/>
      <c r="J27" s="800"/>
      <c r="K27" s="770"/>
      <c r="L27" s="801" t="s">
        <v>129</v>
      </c>
      <c r="M27" s="770"/>
      <c r="N27" s="802">
        <v>16</v>
      </c>
      <c r="O27" s="770"/>
      <c r="P27" s="802" t="s">
        <v>129</v>
      </c>
      <c r="Q27" s="770"/>
    </row>
    <row r="28" spans="1:17" ht="24.75" customHeight="1" x14ac:dyDescent="0.25">
      <c r="A28" s="47">
        <f t="shared" si="0"/>
        <v>16</v>
      </c>
      <c r="B28" s="48">
        <v>44896</v>
      </c>
      <c r="C28" s="799" t="s">
        <v>12</v>
      </c>
      <c r="D28" s="698"/>
      <c r="E28" s="698"/>
      <c r="F28" s="698"/>
      <c r="G28" s="698"/>
      <c r="H28" s="698"/>
      <c r="I28" s="699"/>
      <c r="J28" s="800"/>
      <c r="K28" s="770"/>
      <c r="L28" s="801" t="s">
        <v>129</v>
      </c>
      <c r="M28" s="770"/>
      <c r="N28" s="802">
        <v>17</v>
      </c>
      <c r="O28" s="770"/>
      <c r="P28" s="802" t="s">
        <v>129</v>
      </c>
      <c r="Q28" s="770"/>
    </row>
    <row r="29" spans="1:17" ht="24.75" customHeight="1" x14ac:dyDescent="0.25">
      <c r="A29" s="47">
        <f t="shared" si="0"/>
        <v>17</v>
      </c>
      <c r="B29" s="48">
        <v>44927</v>
      </c>
      <c r="C29" s="799" t="s">
        <v>12</v>
      </c>
      <c r="D29" s="698"/>
      <c r="E29" s="698"/>
      <c r="F29" s="698"/>
      <c r="G29" s="698"/>
      <c r="H29" s="698"/>
      <c r="I29" s="699"/>
      <c r="J29" s="800"/>
      <c r="K29" s="770"/>
      <c r="L29" s="801" t="s">
        <v>129</v>
      </c>
      <c r="M29" s="770"/>
      <c r="N29" s="802">
        <v>18</v>
      </c>
      <c r="O29" s="770"/>
      <c r="P29" s="802" t="s">
        <v>129</v>
      </c>
      <c r="Q29" s="770"/>
    </row>
    <row r="30" spans="1:17" ht="24.75" customHeight="1" x14ac:dyDescent="0.25">
      <c r="A30" s="47">
        <f t="shared" si="0"/>
        <v>18</v>
      </c>
      <c r="B30" s="48">
        <v>44958</v>
      </c>
      <c r="C30" s="799" t="s">
        <v>12</v>
      </c>
      <c r="D30" s="698"/>
      <c r="E30" s="698"/>
      <c r="F30" s="698"/>
      <c r="G30" s="698"/>
      <c r="H30" s="698"/>
      <c r="I30" s="699"/>
      <c r="J30" s="800"/>
      <c r="K30" s="770"/>
      <c r="L30" s="801" t="s">
        <v>129</v>
      </c>
      <c r="M30" s="770"/>
      <c r="N30" s="802">
        <v>19</v>
      </c>
      <c r="O30" s="770"/>
      <c r="P30" s="802" t="s">
        <v>129</v>
      </c>
      <c r="Q30" s="770"/>
    </row>
    <row r="31" spans="1:17" ht="24.75" customHeight="1" x14ac:dyDescent="0.25">
      <c r="A31" s="47">
        <f t="shared" si="0"/>
        <v>19</v>
      </c>
      <c r="B31" s="48">
        <v>44986</v>
      </c>
      <c r="C31" s="799" t="s">
        <v>12</v>
      </c>
      <c r="D31" s="698"/>
      <c r="E31" s="698"/>
      <c r="F31" s="698"/>
      <c r="G31" s="698"/>
      <c r="H31" s="698"/>
      <c r="I31" s="699"/>
      <c r="J31" s="800"/>
      <c r="K31" s="770"/>
      <c r="L31" s="801" t="s">
        <v>129</v>
      </c>
      <c r="M31" s="770"/>
      <c r="N31" s="802">
        <v>20</v>
      </c>
      <c r="O31" s="770"/>
      <c r="P31" s="802" t="s">
        <v>129</v>
      </c>
      <c r="Q31" s="770"/>
    </row>
    <row r="32" spans="1:17" ht="24.75" customHeight="1" x14ac:dyDescent="0.25">
      <c r="A32" s="47">
        <f t="shared" si="0"/>
        <v>20</v>
      </c>
      <c r="B32" s="48">
        <v>45017</v>
      </c>
      <c r="C32" s="799" t="s">
        <v>12</v>
      </c>
      <c r="D32" s="698"/>
      <c r="E32" s="698"/>
      <c r="F32" s="698"/>
      <c r="G32" s="698"/>
      <c r="H32" s="698"/>
      <c r="I32" s="699"/>
      <c r="J32" s="800"/>
      <c r="K32" s="770"/>
      <c r="L32" s="801" t="s">
        <v>129</v>
      </c>
      <c r="M32" s="770"/>
      <c r="N32" s="802">
        <v>21</v>
      </c>
      <c r="O32" s="770"/>
      <c r="P32" s="802" t="s">
        <v>129</v>
      </c>
      <c r="Q32" s="770"/>
    </row>
    <row r="33" spans="1:17" ht="24.75" customHeight="1" x14ac:dyDescent="0.25">
      <c r="A33" s="47">
        <f t="shared" si="0"/>
        <v>21</v>
      </c>
      <c r="B33" s="48">
        <v>45047</v>
      </c>
      <c r="C33" s="799" t="s">
        <v>12</v>
      </c>
      <c r="D33" s="698"/>
      <c r="E33" s="698"/>
      <c r="F33" s="698"/>
      <c r="G33" s="698"/>
      <c r="H33" s="698"/>
      <c r="I33" s="699"/>
      <c r="J33" s="800"/>
      <c r="K33" s="770"/>
      <c r="L33" s="801" t="s">
        <v>129</v>
      </c>
      <c r="M33" s="770"/>
      <c r="N33" s="802">
        <v>22</v>
      </c>
      <c r="O33" s="770"/>
      <c r="P33" s="802" t="s">
        <v>129</v>
      </c>
      <c r="Q33" s="770"/>
    </row>
    <row r="34" spans="1:17" ht="24.75" customHeight="1" x14ac:dyDescent="0.25">
      <c r="A34" s="47">
        <f t="shared" si="0"/>
        <v>22</v>
      </c>
      <c r="B34" s="48">
        <v>45078</v>
      </c>
      <c r="C34" s="799" t="s">
        <v>12</v>
      </c>
      <c r="D34" s="698"/>
      <c r="E34" s="698"/>
      <c r="F34" s="698"/>
      <c r="G34" s="698"/>
      <c r="H34" s="698"/>
      <c r="I34" s="699"/>
      <c r="J34" s="800"/>
      <c r="K34" s="770"/>
      <c r="L34" s="801" t="s">
        <v>129</v>
      </c>
      <c r="M34" s="770"/>
      <c r="N34" s="802">
        <v>23</v>
      </c>
      <c r="O34" s="770"/>
      <c r="P34" s="802" t="s">
        <v>129</v>
      </c>
      <c r="Q34" s="770"/>
    </row>
    <row r="35" spans="1:17" ht="24.75" customHeight="1" x14ac:dyDescent="0.25">
      <c r="A35" s="47">
        <f t="shared" si="0"/>
        <v>23</v>
      </c>
      <c r="B35" s="48">
        <v>45108</v>
      </c>
      <c r="C35" s="799" t="s">
        <v>12</v>
      </c>
      <c r="D35" s="698"/>
      <c r="E35" s="698"/>
      <c r="F35" s="698"/>
      <c r="G35" s="698"/>
      <c r="H35" s="698"/>
      <c r="I35" s="699"/>
      <c r="J35" s="800"/>
      <c r="K35" s="770"/>
      <c r="L35" s="801" t="s">
        <v>129</v>
      </c>
      <c r="M35" s="770"/>
      <c r="N35" s="802">
        <v>24</v>
      </c>
      <c r="O35" s="770"/>
      <c r="P35" s="802" t="s">
        <v>129</v>
      </c>
      <c r="Q35" s="770"/>
    </row>
    <row r="36" spans="1:17" ht="24.75" customHeight="1" x14ac:dyDescent="0.25">
      <c r="A36" s="47">
        <f t="shared" si="0"/>
        <v>24</v>
      </c>
      <c r="B36" s="48">
        <v>45139</v>
      </c>
      <c r="C36" s="799" t="s">
        <v>12</v>
      </c>
      <c r="D36" s="698"/>
      <c r="E36" s="698"/>
      <c r="F36" s="698"/>
      <c r="G36" s="698"/>
      <c r="H36" s="698"/>
      <c r="I36" s="699"/>
      <c r="J36" s="800"/>
      <c r="K36" s="770"/>
      <c r="L36" s="801" t="s">
        <v>129</v>
      </c>
      <c r="M36" s="770"/>
      <c r="N36" s="802">
        <v>25</v>
      </c>
      <c r="O36" s="770"/>
      <c r="P36" s="802" t="s">
        <v>129</v>
      </c>
      <c r="Q36" s="770"/>
    </row>
    <row r="37" spans="1:17" ht="24.75" customHeight="1" x14ac:dyDescent="0.25">
      <c r="A37" s="47">
        <f t="shared" si="0"/>
        <v>25</v>
      </c>
      <c r="B37" s="48">
        <v>45170</v>
      </c>
      <c r="C37" s="799" t="s">
        <v>12</v>
      </c>
      <c r="D37" s="698"/>
      <c r="E37" s="698"/>
      <c r="F37" s="698"/>
      <c r="G37" s="698"/>
      <c r="H37" s="698"/>
      <c r="I37" s="699"/>
      <c r="J37" s="800"/>
      <c r="K37" s="770"/>
      <c r="L37" s="801" t="s">
        <v>129</v>
      </c>
      <c r="M37" s="770"/>
      <c r="N37" s="802">
        <v>26</v>
      </c>
      <c r="O37" s="770"/>
      <c r="P37" s="802" t="s">
        <v>129</v>
      </c>
      <c r="Q37" s="770"/>
    </row>
    <row r="38" spans="1:17" ht="24.75" customHeight="1" x14ac:dyDescent="0.25">
      <c r="A38" s="47">
        <f t="shared" si="0"/>
        <v>26</v>
      </c>
      <c r="B38" s="50"/>
      <c r="C38" s="799" t="s">
        <v>12</v>
      </c>
      <c r="D38" s="698"/>
      <c r="E38" s="698"/>
      <c r="F38" s="698"/>
      <c r="G38" s="698"/>
      <c r="H38" s="698"/>
      <c r="I38" s="699"/>
      <c r="J38" s="800"/>
      <c r="K38" s="770"/>
      <c r="L38" s="801" t="s">
        <v>129</v>
      </c>
      <c r="M38" s="770"/>
      <c r="N38" s="802"/>
      <c r="O38" s="770"/>
      <c r="P38" s="802" t="s">
        <v>129</v>
      </c>
      <c r="Q38" s="770"/>
    </row>
    <row r="39" spans="1:17" ht="24.75" customHeight="1" x14ac:dyDescent="0.25">
      <c r="A39" s="47">
        <f t="shared" si="0"/>
        <v>27</v>
      </c>
      <c r="B39" s="50"/>
      <c r="C39" s="799" t="s">
        <v>12</v>
      </c>
      <c r="D39" s="698"/>
      <c r="E39" s="698"/>
      <c r="F39" s="698"/>
      <c r="G39" s="698"/>
      <c r="H39" s="698"/>
      <c r="I39" s="699"/>
      <c r="J39" s="800"/>
      <c r="K39" s="770"/>
      <c r="L39" s="801" t="s">
        <v>129</v>
      </c>
      <c r="M39" s="770"/>
      <c r="N39" s="802"/>
      <c r="O39" s="770"/>
      <c r="P39" s="802" t="s">
        <v>129</v>
      </c>
      <c r="Q39" s="770"/>
    </row>
    <row r="40" spans="1:17" ht="24.75" customHeight="1" x14ac:dyDescent="0.25">
      <c r="A40" s="47">
        <f t="shared" si="0"/>
        <v>28</v>
      </c>
      <c r="B40" s="50"/>
      <c r="C40" s="799" t="s">
        <v>12</v>
      </c>
      <c r="D40" s="698"/>
      <c r="E40" s="698"/>
      <c r="F40" s="698"/>
      <c r="G40" s="698"/>
      <c r="H40" s="698"/>
      <c r="I40" s="699"/>
      <c r="J40" s="800"/>
      <c r="K40" s="770"/>
      <c r="L40" s="801" t="s">
        <v>129</v>
      </c>
      <c r="M40" s="770"/>
      <c r="N40" s="802"/>
      <c r="O40" s="770"/>
      <c r="P40" s="802" t="s">
        <v>129</v>
      </c>
      <c r="Q40" s="770"/>
    </row>
    <row r="41" spans="1:17" ht="24.75" customHeight="1" x14ac:dyDescent="0.25">
      <c r="A41" s="47">
        <f t="shared" si="0"/>
        <v>29</v>
      </c>
      <c r="B41" s="50"/>
      <c r="C41" s="799" t="s">
        <v>12</v>
      </c>
      <c r="D41" s="698"/>
      <c r="E41" s="698"/>
      <c r="F41" s="698"/>
      <c r="G41" s="698"/>
      <c r="H41" s="698"/>
      <c r="I41" s="699"/>
      <c r="J41" s="800"/>
      <c r="K41" s="770"/>
      <c r="L41" s="801" t="s">
        <v>129</v>
      </c>
      <c r="M41" s="770"/>
      <c r="N41" s="802"/>
      <c r="O41" s="770"/>
      <c r="P41" s="802" t="s">
        <v>129</v>
      </c>
      <c r="Q41" s="770"/>
    </row>
    <row r="42" spans="1:17" ht="24.75" customHeight="1" x14ac:dyDescent="0.25">
      <c r="A42" s="47">
        <f t="shared" si="0"/>
        <v>30</v>
      </c>
      <c r="B42" s="50"/>
      <c r="C42" s="799" t="s">
        <v>12</v>
      </c>
      <c r="D42" s="698"/>
      <c r="E42" s="698"/>
      <c r="F42" s="698"/>
      <c r="G42" s="698"/>
      <c r="H42" s="698"/>
      <c r="I42" s="699"/>
      <c r="J42" s="800"/>
      <c r="K42" s="770"/>
      <c r="L42" s="801" t="s">
        <v>129</v>
      </c>
      <c r="M42" s="770"/>
      <c r="N42" s="802"/>
      <c r="O42" s="770"/>
      <c r="P42" s="802" t="s">
        <v>129</v>
      </c>
      <c r="Q42" s="770"/>
    </row>
    <row r="43" spans="1:17" ht="24.75" customHeight="1" x14ac:dyDescent="0.25">
      <c r="A43" s="47">
        <f t="shared" si="0"/>
        <v>31</v>
      </c>
      <c r="B43" s="50"/>
      <c r="C43" s="799" t="s">
        <v>12</v>
      </c>
      <c r="D43" s="698"/>
      <c r="E43" s="698"/>
      <c r="F43" s="698"/>
      <c r="G43" s="698"/>
      <c r="H43" s="698"/>
      <c r="I43" s="699"/>
      <c r="J43" s="800"/>
      <c r="K43" s="770"/>
      <c r="L43" s="801" t="s">
        <v>129</v>
      </c>
      <c r="M43" s="770"/>
      <c r="N43" s="802"/>
      <c r="O43" s="770"/>
      <c r="P43" s="802" t="s">
        <v>129</v>
      </c>
      <c r="Q43" s="770"/>
    </row>
    <row r="44" spans="1:17" ht="24.75" customHeight="1" x14ac:dyDescent="0.25">
      <c r="A44" s="47">
        <f t="shared" si="0"/>
        <v>32</v>
      </c>
      <c r="B44" s="50"/>
      <c r="C44" s="799" t="s">
        <v>12</v>
      </c>
      <c r="D44" s="698"/>
      <c r="E44" s="698"/>
      <c r="F44" s="698"/>
      <c r="G44" s="698"/>
      <c r="H44" s="698"/>
      <c r="I44" s="699"/>
      <c r="J44" s="800"/>
      <c r="K44" s="770"/>
      <c r="L44" s="801" t="s">
        <v>129</v>
      </c>
      <c r="M44" s="770"/>
      <c r="N44" s="802"/>
      <c r="O44" s="770"/>
      <c r="P44" s="802" t="s">
        <v>129</v>
      </c>
      <c r="Q44" s="770"/>
    </row>
    <row r="45" spans="1:17" ht="24.75" customHeight="1" x14ac:dyDescent="0.25">
      <c r="A45" s="47">
        <f t="shared" si="0"/>
        <v>33</v>
      </c>
      <c r="B45" s="50"/>
      <c r="C45" s="799" t="s">
        <v>12</v>
      </c>
      <c r="D45" s="698"/>
      <c r="E45" s="698"/>
      <c r="F45" s="698"/>
      <c r="G45" s="698"/>
      <c r="H45" s="698"/>
      <c r="I45" s="699"/>
      <c r="J45" s="800"/>
      <c r="K45" s="770"/>
      <c r="L45" s="801" t="s">
        <v>129</v>
      </c>
      <c r="M45" s="770"/>
      <c r="N45" s="802"/>
      <c r="O45" s="770"/>
      <c r="P45" s="802" t="s">
        <v>129</v>
      </c>
      <c r="Q45" s="770"/>
    </row>
    <row r="46" spans="1:17" ht="24.75" customHeight="1" x14ac:dyDescent="0.25">
      <c r="A46" s="47">
        <f t="shared" si="0"/>
        <v>34</v>
      </c>
      <c r="B46" s="50"/>
      <c r="C46" s="799" t="s">
        <v>12</v>
      </c>
      <c r="D46" s="698"/>
      <c r="E46" s="698"/>
      <c r="F46" s="698"/>
      <c r="G46" s="698"/>
      <c r="H46" s="698"/>
      <c r="I46" s="699"/>
      <c r="J46" s="800"/>
      <c r="K46" s="770"/>
      <c r="L46" s="801" t="s">
        <v>129</v>
      </c>
      <c r="M46" s="770"/>
      <c r="N46" s="802"/>
      <c r="O46" s="770"/>
      <c r="P46" s="802" t="s">
        <v>129</v>
      </c>
      <c r="Q46" s="770"/>
    </row>
    <row r="47" spans="1:17" ht="24.75" customHeight="1" x14ac:dyDescent="0.25">
      <c r="A47" s="47">
        <f t="shared" si="0"/>
        <v>35</v>
      </c>
      <c r="B47" s="50"/>
      <c r="C47" s="799" t="s">
        <v>12</v>
      </c>
      <c r="D47" s="698"/>
      <c r="E47" s="698"/>
      <c r="F47" s="698"/>
      <c r="G47" s="698"/>
      <c r="H47" s="698"/>
      <c r="I47" s="699"/>
      <c r="J47" s="800"/>
      <c r="K47" s="770"/>
      <c r="L47" s="801" t="s">
        <v>129</v>
      </c>
      <c r="M47" s="770"/>
      <c r="N47" s="802"/>
      <c r="O47" s="770"/>
      <c r="P47" s="802" t="s">
        <v>129</v>
      </c>
      <c r="Q47" s="770"/>
    </row>
    <row r="48" spans="1:17" ht="24.75" customHeight="1" x14ac:dyDescent="0.25">
      <c r="A48" s="47">
        <f t="shared" si="0"/>
        <v>36</v>
      </c>
      <c r="B48" s="50"/>
      <c r="C48" s="799" t="s">
        <v>12</v>
      </c>
      <c r="D48" s="698"/>
      <c r="E48" s="698"/>
      <c r="F48" s="698"/>
      <c r="G48" s="698"/>
      <c r="H48" s="698"/>
      <c r="I48" s="699"/>
      <c r="J48" s="800"/>
      <c r="K48" s="770"/>
      <c r="L48" s="801" t="s">
        <v>129</v>
      </c>
      <c r="M48" s="770"/>
      <c r="N48" s="802"/>
      <c r="O48" s="770"/>
      <c r="P48" s="802" t="s">
        <v>129</v>
      </c>
      <c r="Q48" s="770"/>
    </row>
    <row r="49" spans="1:17" ht="24.75" customHeight="1" x14ac:dyDescent="0.25">
      <c r="A49" s="47">
        <f t="shared" si="0"/>
        <v>37</v>
      </c>
      <c r="B49" s="50"/>
      <c r="C49" s="799" t="s">
        <v>12</v>
      </c>
      <c r="D49" s="698"/>
      <c r="E49" s="698"/>
      <c r="F49" s="698"/>
      <c r="G49" s="698"/>
      <c r="H49" s="698"/>
      <c r="I49" s="699"/>
      <c r="J49" s="800"/>
      <c r="K49" s="770"/>
      <c r="L49" s="801" t="s">
        <v>129</v>
      </c>
      <c r="M49" s="770"/>
      <c r="N49" s="802"/>
      <c r="O49" s="770"/>
      <c r="P49" s="802" t="s">
        <v>129</v>
      </c>
      <c r="Q49" s="770"/>
    </row>
    <row r="50" spans="1:17" ht="24.75" customHeight="1" x14ac:dyDescent="0.25">
      <c r="A50" s="47">
        <f t="shared" si="0"/>
        <v>38</v>
      </c>
      <c r="B50" s="50"/>
      <c r="C50" s="799" t="s">
        <v>12</v>
      </c>
      <c r="D50" s="698"/>
      <c r="E50" s="698"/>
      <c r="F50" s="698"/>
      <c r="G50" s="698"/>
      <c r="H50" s="698"/>
      <c r="I50" s="699"/>
      <c r="J50" s="800"/>
      <c r="K50" s="770"/>
      <c r="L50" s="801" t="s">
        <v>129</v>
      </c>
      <c r="M50" s="770"/>
      <c r="N50" s="802"/>
      <c r="O50" s="770"/>
      <c r="P50" s="802" t="s">
        <v>129</v>
      </c>
      <c r="Q50" s="770"/>
    </row>
    <row r="51" spans="1:17" ht="24.75" customHeight="1" x14ac:dyDescent="0.25">
      <c r="A51" s="47">
        <f t="shared" si="0"/>
        <v>39</v>
      </c>
      <c r="B51" s="50"/>
      <c r="C51" s="799" t="s">
        <v>12</v>
      </c>
      <c r="D51" s="698"/>
      <c r="E51" s="698"/>
      <c r="F51" s="698"/>
      <c r="G51" s="698"/>
      <c r="H51" s="698"/>
      <c r="I51" s="699"/>
      <c r="J51" s="800"/>
      <c r="K51" s="770"/>
      <c r="L51" s="801" t="s">
        <v>129</v>
      </c>
      <c r="M51" s="770"/>
      <c r="N51" s="802"/>
      <c r="O51" s="770"/>
      <c r="P51" s="802" t="s">
        <v>129</v>
      </c>
      <c r="Q51" s="770"/>
    </row>
    <row r="52" spans="1:17" ht="24.75" customHeight="1" x14ac:dyDescent="0.25">
      <c r="A52" s="47">
        <f t="shared" si="0"/>
        <v>40</v>
      </c>
      <c r="B52" s="50"/>
      <c r="C52" s="799" t="s">
        <v>12</v>
      </c>
      <c r="D52" s="698"/>
      <c r="E52" s="698"/>
      <c r="F52" s="698"/>
      <c r="G52" s="698"/>
      <c r="H52" s="698"/>
      <c r="I52" s="699"/>
      <c r="J52" s="800"/>
      <c r="K52" s="770"/>
      <c r="L52" s="801" t="s">
        <v>129</v>
      </c>
      <c r="M52" s="770"/>
      <c r="N52" s="802"/>
      <c r="O52" s="770"/>
      <c r="P52" s="802" t="s">
        <v>129</v>
      </c>
      <c r="Q52" s="770"/>
    </row>
    <row r="53" spans="1:17" ht="24.75" customHeight="1" x14ac:dyDescent="0.25">
      <c r="A53" s="47">
        <f t="shared" si="0"/>
        <v>41</v>
      </c>
      <c r="B53" s="50"/>
      <c r="C53" s="799" t="s">
        <v>12</v>
      </c>
      <c r="D53" s="698"/>
      <c r="E53" s="698"/>
      <c r="F53" s="698"/>
      <c r="G53" s="698"/>
      <c r="H53" s="698"/>
      <c r="I53" s="699"/>
      <c r="J53" s="800"/>
      <c r="K53" s="770"/>
      <c r="L53" s="801" t="s">
        <v>129</v>
      </c>
      <c r="M53" s="770"/>
      <c r="N53" s="802"/>
      <c r="O53" s="770"/>
      <c r="P53" s="802" t="s">
        <v>129</v>
      </c>
      <c r="Q53" s="770"/>
    </row>
    <row r="54" spans="1:17" ht="24.75" customHeight="1" x14ac:dyDescent="0.25">
      <c r="A54" s="47">
        <f t="shared" si="0"/>
        <v>42</v>
      </c>
      <c r="B54" s="50"/>
      <c r="C54" s="799" t="s">
        <v>12</v>
      </c>
      <c r="D54" s="698"/>
      <c r="E54" s="698"/>
      <c r="F54" s="698"/>
      <c r="G54" s="698"/>
      <c r="H54" s="698"/>
      <c r="I54" s="699"/>
      <c r="J54" s="800"/>
      <c r="K54" s="770"/>
      <c r="L54" s="801" t="s">
        <v>129</v>
      </c>
      <c r="M54" s="770"/>
      <c r="N54" s="802"/>
      <c r="O54" s="770"/>
      <c r="P54" s="802" t="s">
        <v>129</v>
      </c>
      <c r="Q54" s="770"/>
    </row>
    <row r="55" spans="1:17" ht="24.75" customHeight="1" x14ac:dyDescent="0.25">
      <c r="A55" s="47">
        <f t="shared" si="0"/>
        <v>43</v>
      </c>
      <c r="B55" s="50"/>
      <c r="C55" s="799" t="s">
        <v>12</v>
      </c>
      <c r="D55" s="698"/>
      <c r="E55" s="698"/>
      <c r="F55" s="698"/>
      <c r="G55" s="698"/>
      <c r="H55" s="698"/>
      <c r="I55" s="699"/>
      <c r="J55" s="800"/>
      <c r="K55" s="770"/>
      <c r="L55" s="801" t="s">
        <v>129</v>
      </c>
      <c r="M55" s="770"/>
      <c r="N55" s="802"/>
      <c r="O55" s="770"/>
      <c r="P55" s="802" t="s">
        <v>129</v>
      </c>
      <c r="Q55" s="770"/>
    </row>
    <row r="56" spans="1:17" ht="24.75" customHeight="1" x14ac:dyDescent="0.25">
      <c r="A56" s="47">
        <f t="shared" si="0"/>
        <v>44</v>
      </c>
      <c r="B56" s="50"/>
      <c r="C56" s="799" t="s">
        <v>12</v>
      </c>
      <c r="D56" s="698"/>
      <c r="E56" s="698"/>
      <c r="F56" s="698"/>
      <c r="G56" s="698"/>
      <c r="H56" s="698"/>
      <c r="I56" s="699"/>
      <c r="J56" s="800"/>
      <c r="K56" s="770"/>
      <c r="L56" s="801" t="s">
        <v>129</v>
      </c>
      <c r="M56" s="770"/>
      <c r="N56" s="802"/>
      <c r="O56" s="770"/>
      <c r="P56" s="802" t="s">
        <v>129</v>
      </c>
      <c r="Q56" s="770"/>
    </row>
    <row r="57" spans="1:17" ht="24.75" customHeight="1" x14ac:dyDescent="0.25">
      <c r="A57" s="47">
        <f t="shared" si="0"/>
        <v>45</v>
      </c>
      <c r="B57" s="50"/>
      <c r="C57" s="799" t="s">
        <v>12</v>
      </c>
      <c r="D57" s="698"/>
      <c r="E57" s="698"/>
      <c r="F57" s="698"/>
      <c r="G57" s="698"/>
      <c r="H57" s="698"/>
      <c r="I57" s="699"/>
      <c r="J57" s="800"/>
      <c r="K57" s="770"/>
      <c r="L57" s="801" t="s">
        <v>129</v>
      </c>
      <c r="M57" s="770"/>
      <c r="N57" s="802"/>
      <c r="O57" s="770"/>
      <c r="P57" s="802" t="s">
        <v>129</v>
      </c>
      <c r="Q57" s="770"/>
    </row>
    <row r="58" spans="1:17" ht="24.75" customHeight="1" x14ac:dyDescent="0.25">
      <c r="A58" s="47">
        <f t="shared" si="0"/>
        <v>46</v>
      </c>
      <c r="B58" s="50"/>
      <c r="C58" s="799" t="s">
        <v>12</v>
      </c>
      <c r="D58" s="698"/>
      <c r="E58" s="698"/>
      <c r="F58" s="698"/>
      <c r="G58" s="698"/>
      <c r="H58" s="698"/>
      <c r="I58" s="699"/>
      <c r="J58" s="800"/>
      <c r="K58" s="770"/>
      <c r="L58" s="801" t="s">
        <v>129</v>
      </c>
      <c r="M58" s="770"/>
      <c r="N58" s="802"/>
      <c r="O58" s="770"/>
      <c r="P58" s="802" t="s">
        <v>129</v>
      </c>
      <c r="Q58" s="770"/>
    </row>
    <row r="59" spans="1:17" ht="24.75" customHeight="1" x14ac:dyDescent="0.25">
      <c r="A59" s="47">
        <f t="shared" si="0"/>
        <v>47</v>
      </c>
      <c r="B59" s="50"/>
      <c r="C59" s="799" t="s">
        <v>12</v>
      </c>
      <c r="D59" s="698"/>
      <c r="E59" s="698"/>
      <c r="F59" s="698"/>
      <c r="G59" s="698"/>
      <c r="H59" s="698"/>
      <c r="I59" s="699"/>
      <c r="J59" s="800"/>
      <c r="K59" s="770"/>
      <c r="L59" s="801" t="s">
        <v>129</v>
      </c>
      <c r="M59" s="770"/>
      <c r="N59" s="802"/>
      <c r="O59" s="770"/>
      <c r="P59" s="802" t="s">
        <v>129</v>
      </c>
      <c r="Q59" s="770"/>
    </row>
    <row r="60" spans="1:17" ht="24.75" customHeight="1" x14ac:dyDescent="0.25">
      <c r="A60" s="47">
        <f t="shared" si="0"/>
        <v>48</v>
      </c>
      <c r="B60" s="50"/>
      <c r="C60" s="799" t="s">
        <v>12</v>
      </c>
      <c r="D60" s="698"/>
      <c r="E60" s="698"/>
      <c r="F60" s="698"/>
      <c r="G60" s="698"/>
      <c r="H60" s="698"/>
      <c r="I60" s="699"/>
      <c r="J60" s="800"/>
      <c r="K60" s="770"/>
      <c r="L60" s="801" t="s">
        <v>129</v>
      </c>
      <c r="M60" s="770"/>
      <c r="N60" s="802"/>
      <c r="O60" s="770"/>
      <c r="P60" s="802" t="s">
        <v>129</v>
      </c>
      <c r="Q60" s="770"/>
    </row>
    <row r="61" spans="1:17" ht="24.75" customHeight="1" x14ac:dyDescent="0.25">
      <c r="A61" s="47">
        <f t="shared" si="0"/>
        <v>49</v>
      </c>
      <c r="B61" s="50"/>
      <c r="C61" s="799" t="s">
        <v>12</v>
      </c>
      <c r="D61" s="698"/>
      <c r="E61" s="698"/>
      <c r="F61" s="698"/>
      <c r="G61" s="698"/>
      <c r="H61" s="698"/>
      <c r="I61" s="699"/>
      <c r="J61" s="800"/>
      <c r="K61" s="770"/>
      <c r="L61" s="801" t="s">
        <v>129</v>
      </c>
      <c r="M61" s="770"/>
      <c r="N61" s="802"/>
      <c r="O61" s="770"/>
      <c r="P61" s="802" t="s">
        <v>129</v>
      </c>
      <c r="Q61" s="770"/>
    </row>
    <row r="62" spans="1:17" ht="24.75" customHeight="1" x14ac:dyDescent="0.25">
      <c r="A62" s="47">
        <f t="shared" si="0"/>
        <v>50</v>
      </c>
      <c r="B62" s="50"/>
      <c r="C62" s="799" t="s">
        <v>12</v>
      </c>
      <c r="D62" s="698"/>
      <c r="E62" s="698"/>
      <c r="F62" s="698"/>
      <c r="G62" s="698"/>
      <c r="H62" s="698"/>
      <c r="I62" s="699"/>
      <c r="J62" s="800"/>
      <c r="K62" s="770"/>
      <c r="L62" s="801" t="s">
        <v>129</v>
      </c>
      <c r="M62" s="770"/>
      <c r="N62" s="802"/>
      <c r="O62" s="770"/>
      <c r="P62" s="802" t="s">
        <v>129</v>
      </c>
      <c r="Q62" s="770"/>
    </row>
    <row r="63" spans="1:17" ht="24.75" customHeight="1" x14ac:dyDescent="0.25">
      <c r="A63" s="47">
        <f t="shared" si="0"/>
        <v>51</v>
      </c>
      <c r="B63" s="50"/>
      <c r="C63" s="799" t="s">
        <v>12</v>
      </c>
      <c r="D63" s="698"/>
      <c r="E63" s="698"/>
      <c r="F63" s="698"/>
      <c r="G63" s="698"/>
      <c r="H63" s="698"/>
      <c r="I63" s="699"/>
      <c r="J63" s="800"/>
      <c r="K63" s="770"/>
      <c r="L63" s="801" t="s">
        <v>129</v>
      </c>
      <c r="M63" s="770"/>
      <c r="N63" s="802"/>
      <c r="O63" s="770"/>
      <c r="P63" s="802" t="s">
        <v>129</v>
      </c>
      <c r="Q63" s="770"/>
    </row>
    <row r="64" spans="1:17" ht="24.75" customHeight="1" x14ac:dyDescent="0.25">
      <c r="A64" s="47">
        <f t="shared" si="0"/>
        <v>52</v>
      </c>
      <c r="B64" s="50"/>
      <c r="C64" s="799" t="s">
        <v>12</v>
      </c>
      <c r="D64" s="698"/>
      <c r="E64" s="698"/>
      <c r="F64" s="698"/>
      <c r="G64" s="698"/>
      <c r="H64" s="698"/>
      <c r="I64" s="699"/>
      <c r="J64" s="800"/>
      <c r="K64" s="770"/>
      <c r="L64" s="801" t="s">
        <v>129</v>
      </c>
      <c r="M64" s="770"/>
      <c r="N64" s="802"/>
      <c r="O64" s="770"/>
      <c r="P64" s="802" t="s">
        <v>129</v>
      </c>
      <c r="Q64" s="770"/>
    </row>
    <row r="65" spans="1:17" ht="24.75" customHeight="1" x14ac:dyDescent="0.25">
      <c r="A65" s="47">
        <f t="shared" si="0"/>
        <v>53</v>
      </c>
      <c r="B65" s="50"/>
      <c r="C65" s="799" t="s">
        <v>12</v>
      </c>
      <c r="D65" s="698"/>
      <c r="E65" s="698"/>
      <c r="F65" s="698"/>
      <c r="G65" s="698"/>
      <c r="H65" s="698"/>
      <c r="I65" s="699"/>
      <c r="J65" s="800"/>
      <c r="K65" s="770"/>
      <c r="L65" s="801" t="s">
        <v>129</v>
      </c>
      <c r="M65" s="770"/>
      <c r="N65" s="802"/>
      <c r="O65" s="770"/>
      <c r="P65" s="802" t="s">
        <v>129</v>
      </c>
      <c r="Q65" s="770"/>
    </row>
    <row r="66" spans="1:17" ht="24.75" customHeight="1" x14ac:dyDescent="0.25">
      <c r="A66" s="47">
        <f t="shared" si="0"/>
        <v>54</v>
      </c>
      <c r="B66" s="50"/>
      <c r="C66" s="799" t="s">
        <v>12</v>
      </c>
      <c r="D66" s="698"/>
      <c r="E66" s="698"/>
      <c r="F66" s="698"/>
      <c r="G66" s="698"/>
      <c r="H66" s="698"/>
      <c r="I66" s="699"/>
      <c r="J66" s="800"/>
      <c r="K66" s="770"/>
      <c r="L66" s="801" t="s">
        <v>129</v>
      </c>
      <c r="M66" s="770"/>
      <c r="N66" s="802"/>
      <c r="O66" s="770"/>
      <c r="P66" s="802" t="s">
        <v>129</v>
      </c>
      <c r="Q66" s="770"/>
    </row>
    <row r="67" spans="1:17" ht="24.75" customHeight="1" x14ac:dyDescent="0.25">
      <c r="A67" s="47">
        <f t="shared" si="0"/>
        <v>55</v>
      </c>
      <c r="B67" s="50"/>
      <c r="C67" s="799" t="s">
        <v>12</v>
      </c>
      <c r="D67" s="698"/>
      <c r="E67" s="698"/>
      <c r="F67" s="698"/>
      <c r="G67" s="698"/>
      <c r="H67" s="698"/>
      <c r="I67" s="699"/>
      <c r="J67" s="800"/>
      <c r="K67" s="770"/>
      <c r="L67" s="801" t="s">
        <v>129</v>
      </c>
      <c r="M67" s="770"/>
      <c r="N67" s="802"/>
      <c r="O67" s="770"/>
      <c r="P67" s="802" t="s">
        <v>129</v>
      </c>
      <c r="Q67" s="770"/>
    </row>
    <row r="68" spans="1:17" ht="24.75" customHeight="1" x14ac:dyDescent="0.25">
      <c r="A68" s="47">
        <f t="shared" si="0"/>
        <v>56</v>
      </c>
      <c r="B68" s="50"/>
      <c r="C68" s="799" t="s">
        <v>12</v>
      </c>
      <c r="D68" s="698"/>
      <c r="E68" s="698"/>
      <c r="F68" s="698"/>
      <c r="G68" s="698"/>
      <c r="H68" s="698"/>
      <c r="I68" s="699"/>
      <c r="J68" s="800"/>
      <c r="K68" s="770"/>
      <c r="L68" s="801" t="s">
        <v>129</v>
      </c>
      <c r="M68" s="770"/>
      <c r="N68" s="802"/>
      <c r="O68" s="770"/>
      <c r="P68" s="802" t="s">
        <v>129</v>
      </c>
      <c r="Q68" s="770"/>
    </row>
    <row r="69" spans="1:17" ht="24.75" customHeight="1" x14ac:dyDescent="0.25">
      <c r="A69" s="47">
        <f t="shared" si="0"/>
        <v>57</v>
      </c>
      <c r="B69" s="50"/>
      <c r="C69" s="799" t="s">
        <v>12</v>
      </c>
      <c r="D69" s="698"/>
      <c r="E69" s="698"/>
      <c r="F69" s="698"/>
      <c r="G69" s="698"/>
      <c r="H69" s="698"/>
      <c r="I69" s="699"/>
      <c r="J69" s="800"/>
      <c r="K69" s="770"/>
      <c r="L69" s="801" t="s">
        <v>129</v>
      </c>
      <c r="M69" s="770"/>
      <c r="N69" s="802"/>
      <c r="O69" s="770"/>
      <c r="P69" s="802" t="s">
        <v>129</v>
      </c>
      <c r="Q69" s="770"/>
    </row>
    <row r="70" spans="1:17" ht="24.75" customHeight="1" x14ac:dyDescent="0.25">
      <c r="A70" s="47">
        <f t="shared" si="0"/>
        <v>58</v>
      </c>
      <c r="B70" s="50"/>
      <c r="C70" s="799" t="s">
        <v>12</v>
      </c>
      <c r="D70" s="698"/>
      <c r="E70" s="698"/>
      <c r="F70" s="698"/>
      <c r="G70" s="698"/>
      <c r="H70" s="698"/>
      <c r="I70" s="699"/>
      <c r="J70" s="800"/>
      <c r="K70" s="770"/>
      <c r="L70" s="801" t="s">
        <v>129</v>
      </c>
      <c r="M70" s="770"/>
      <c r="N70" s="802"/>
      <c r="O70" s="770"/>
      <c r="P70" s="802" t="s">
        <v>129</v>
      </c>
      <c r="Q70" s="770"/>
    </row>
    <row r="71" spans="1:17" ht="24.75" customHeight="1" x14ac:dyDescent="0.25">
      <c r="A71" s="47">
        <f t="shared" si="0"/>
        <v>59</v>
      </c>
      <c r="B71" s="50"/>
      <c r="C71" s="799" t="s">
        <v>12</v>
      </c>
      <c r="D71" s="698"/>
      <c r="E71" s="698"/>
      <c r="F71" s="698"/>
      <c r="G71" s="698"/>
      <c r="H71" s="698"/>
      <c r="I71" s="699"/>
      <c r="J71" s="800"/>
      <c r="K71" s="770"/>
      <c r="L71" s="801" t="s">
        <v>129</v>
      </c>
      <c r="M71" s="770"/>
      <c r="N71" s="802"/>
      <c r="O71" s="770"/>
      <c r="P71" s="802" t="s">
        <v>129</v>
      </c>
      <c r="Q71" s="770"/>
    </row>
    <row r="72" spans="1:17" ht="24.75" customHeight="1" x14ac:dyDescent="0.25">
      <c r="A72" s="47">
        <f t="shared" si="0"/>
        <v>60</v>
      </c>
      <c r="B72" s="50"/>
      <c r="C72" s="799" t="s">
        <v>12</v>
      </c>
      <c r="D72" s="698"/>
      <c r="E72" s="698"/>
      <c r="F72" s="698"/>
      <c r="G72" s="698"/>
      <c r="H72" s="698"/>
      <c r="I72" s="699"/>
      <c r="J72" s="800"/>
      <c r="K72" s="770"/>
      <c r="L72" s="801" t="s">
        <v>129</v>
      </c>
      <c r="M72" s="770"/>
      <c r="N72" s="802"/>
      <c r="O72" s="770"/>
      <c r="P72" s="802" t="s">
        <v>129</v>
      </c>
      <c r="Q72" s="770"/>
    </row>
    <row r="73" spans="1:17" ht="24.75" customHeight="1" x14ac:dyDescent="0.25">
      <c r="A73" s="47">
        <f t="shared" si="0"/>
        <v>61</v>
      </c>
      <c r="B73" s="50"/>
      <c r="C73" s="799" t="s">
        <v>12</v>
      </c>
      <c r="D73" s="698"/>
      <c r="E73" s="698"/>
      <c r="F73" s="698"/>
      <c r="G73" s="698"/>
      <c r="H73" s="698"/>
      <c r="I73" s="699"/>
      <c r="J73" s="800"/>
      <c r="K73" s="770"/>
      <c r="L73" s="801" t="s">
        <v>129</v>
      </c>
      <c r="M73" s="770"/>
      <c r="N73" s="802"/>
      <c r="O73" s="770"/>
      <c r="P73" s="802" t="s">
        <v>129</v>
      </c>
      <c r="Q73" s="770"/>
    </row>
    <row r="74" spans="1:17" ht="24.75" customHeight="1" x14ac:dyDescent="0.25">
      <c r="A74" s="47">
        <f t="shared" si="0"/>
        <v>62</v>
      </c>
      <c r="B74" s="50"/>
      <c r="C74" s="799" t="s">
        <v>12</v>
      </c>
      <c r="D74" s="698"/>
      <c r="E74" s="698"/>
      <c r="F74" s="698"/>
      <c r="G74" s="698"/>
      <c r="H74" s="698"/>
      <c r="I74" s="699"/>
      <c r="J74" s="800"/>
      <c r="K74" s="770"/>
      <c r="L74" s="801" t="s">
        <v>129</v>
      </c>
      <c r="M74" s="770"/>
      <c r="N74" s="802"/>
      <c r="O74" s="770"/>
      <c r="P74" s="802" t="s">
        <v>129</v>
      </c>
      <c r="Q74" s="770"/>
    </row>
    <row r="75" spans="1:17" ht="24.75" customHeight="1" x14ac:dyDescent="0.25">
      <c r="A75" s="47">
        <f t="shared" si="0"/>
        <v>63</v>
      </c>
      <c r="B75" s="50"/>
      <c r="C75" s="799" t="s">
        <v>12</v>
      </c>
      <c r="D75" s="698"/>
      <c r="E75" s="698"/>
      <c r="F75" s="698"/>
      <c r="G75" s="698"/>
      <c r="H75" s="698"/>
      <c r="I75" s="699"/>
      <c r="J75" s="800"/>
      <c r="K75" s="770"/>
      <c r="L75" s="801" t="s">
        <v>129</v>
      </c>
      <c r="M75" s="770"/>
      <c r="N75" s="802"/>
      <c r="O75" s="770"/>
      <c r="P75" s="802" t="s">
        <v>129</v>
      </c>
      <c r="Q75" s="770"/>
    </row>
    <row r="76" spans="1:17" ht="24.75" customHeight="1" x14ac:dyDescent="0.25">
      <c r="A76" s="47">
        <f t="shared" si="0"/>
        <v>64</v>
      </c>
      <c r="B76" s="50"/>
      <c r="C76" s="799" t="s">
        <v>12</v>
      </c>
      <c r="D76" s="698"/>
      <c r="E76" s="698"/>
      <c r="F76" s="698"/>
      <c r="G76" s="698"/>
      <c r="H76" s="698"/>
      <c r="I76" s="699"/>
      <c r="J76" s="800"/>
      <c r="K76" s="770"/>
      <c r="L76" s="801" t="s">
        <v>129</v>
      </c>
      <c r="M76" s="770"/>
      <c r="N76" s="802"/>
      <c r="O76" s="770"/>
      <c r="P76" s="802" t="s">
        <v>129</v>
      </c>
      <c r="Q76" s="770"/>
    </row>
    <row r="77" spans="1:17" ht="24.75" customHeight="1" x14ac:dyDescent="0.25">
      <c r="A77" s="47">
        <f t="shared" si="0"/>
        <v>65</v>
      </c>
      <c r="B77" s="50"/>
      <c r="C77" s="799" t="s">
        <v>12</v>
      </c>
      <c r="D77" s="698"/>
      <c r="E77" s="698"/>
      <c r="F77" s="698"/>
      <c r="G77" s="698"/>
      <c r="H77" s="698"/>
      <c r="I77" s="699"/>
      <c r="J77" s="800"/>
      <c r="K77" s="770"/>
      <c r="L77" s="801" t="s">
        <v>129</v>
      </c>
      <c r="M77" s="770"/>
      <c r="N77" s="802"/>
      <c r="O77" s="770"/>
      <c r="P77" s="802" t="s">
        <v>129</v>
      </c>
      <c r="Q77" s="770"/>
    </row>
    <row r="78" spans="1:17" ht="24.75" customHeight="1" x14ac:dyDescent="0.25">
      <c r="A78" s="47">
        <f t="shared" si="0"/>
        <v>66</v>
      </c>
      <c r="B78" s="50"/>
      <c r="C78" s="799" t="s">
        <v>12</v>
      </c>
      <c r="D78" s="698"/>
      <c r="E78" s="698"/>
      <c r="F78" s="698"/>
      <c r="G78" s="698"/>
      <c r="H78" s="698"/>
      <c r="I78" s="699"/>
      <c r="J78" s="800"/>
      <c r="K78" s="770"/>
      <c r="L78" s="801" t="s">
        <v>129</v>
      </c>
      <c r="M78" s="770"/>
      <c r="N78" s="802"/>
      <c r="O78" s="770"/>
      <c r="P78" s="802" t="s">
        <v>129</v>
      </c>
      <c r="Q78" s="770"/>
    </row>
    <row r="79" spans="1:17" ht="24.75" customHeight="1" x14ac:dyDescent="0.25">
      <c r="A79" s="47">
        <f t="shared" si="0"/>
        <v>67</v>
      </c>
      <c r="B79" s="50"/>
      <c r="C79" s="799" t="s">
        <v>12</v>
      </c>
      <c r="D79" s="698"/>
      <c r="E79" s="698"/>
      <c r="F79" s="698"/>
      <c r="G79" s="698"/>
      <c r="H79" s="698"/>
      <c r="I79" s="699"/>
      <c r="J79" s="800"/>
      <c r="K79" s="770"/>
      <c r="L79" s="801" t="s">
        <v>129</v>
      </c>
      <c r="M79" s="770"/>
      <c r="N79" s="802"/>
      <c r="O79" s="770"/>
      <c r="P79" s="802" t="s">
        <v>129</v>
      </c>
      <c r="Q79" s="770"/>
    </row>
    <row r="80" spans="1:17" ht="24.75" customHeight="1" x14ac:dyDescent="0.25">
      <c r="A80" s="47">
        <f t="shared" si="0"/>
        <v>68</v>
      </c>
      <c r="B80" s="50"/>
      <c r="C80" s="799" t="s">
        <v>12</v>
      </c>
      <c r="D80" s="698"/>
      <c r="E80" s="698"/>
      <c r="F80" s="698"/>
      <c r="G80" s="698"/>
      <c r="H80" s="698"/>
      <c r="I80" s="699"/>
      <c r="J80" s="800"/>
      <c r="K80" s="770"/>
      <c r="L80" s="801" t="s">
        <v>129</v>
      </c>
      <c r="M80" s="770"/>
      <c r="N80" s="802"/>
      <c r="O80" s="770"/>
      <c r="P80" s="802" t="s">
        <v>129</v>
      </c>
      <c r="Q80" s="770"/>
    </row>
    <row r="81" spans="1:17" ht="24.75" customHeight="1" x14ac:dyDescent="0.25">
      <c r="A81" s="47">
        <f t="shared" si="0"/>
        <v>69</v>
      </c>
      <c r="B81" s="50"/>
      <c r="C81" s="799" t="s">
        <v>12</v>
      </c>
      <c r="D81" s="698"/>
      <c r="E81" s="698"/>
      <c r="F81" s="698"/>
      <c r="G81" s="698"/>
      <c r="H81" s="698"/>
      <c r="I81" s="699"/>
      <c r="J81" s="800"/>
      <c r="K81" s="770"/>
      <c r="L81" s="801" t="s">
        <v>129</v>
      </c>
      <c r="M81" s="770"/>
      <c r="N81" s="802"/>
      <c r="O81" s="770"/>
      <c r="P81" s="802" t="s">
        <v>129</v>
      </c>
      <c r="Q81" s="770"/>
    </row>
    <row r="82" spans="1:17" ht="24.75" customHeight="1" x14ac:dyDescent="0.25">
      <c r="A82" s="47">
        <f t="shared" si="0"/>
        <v>70</v>
      </c>
      <c r="B82" s="50"/>
      <c r="C82" s="799" t="s">
        <v>12</v>
      </c>
      <c r="D82" s="698"/>
      <c r="E82" s="698"/>
      <c r="F82" s="698"/>
      <c r="G82" s="698"/>
      <c r="H82" s="698"/>
      <c r="I82" s="699"/>
      <c r="J82" s="800"/>
      <c r="K82" s="770"/>
      <c r="L82" s="801" t="s">
        <v>129</v>
      </c>
      <c r="M82" s="770"/>
      <c r="N82" s="802"/>
      <c r="O82" s="770"/>
      <c r="P82" s="802" t="s">
        <v>129</v>
      </c>
      <c r="Q82" s="770"/>
    </row>
    <row r="83" spans="1:17" ht="24.75" customHeight="1" x14ac:dyDescent="0.25">
      <c r="A83" s="47">
        <f t="shared" si="0"/>
        <v>71</v>
      </c>
      <c r="B83" s="50"/>
      <c r="C83" s="799" t="s">
        <v>12</v>
      </c>
      <c r="D83" s="698"/>
      <c r="E83" s="698"/>
      <c r="F83" s="698"/>
      <c r="G83" s="698"/>
      <c r="H83" s="698"/>
      <c r="I83" s="699"/>
      <c r="J83" s="800"/>
      <c r="K83" s="770"/>
      <c r="L83" s="801" t="s">
        <v>129</v>
      </c>
      <c r="M83" s="770"/>
      <c r="N83" s="802"/>
      <c r="O83" s="770"/>
      <c r="P83" s="802" t="s">
        <v>129</v>
      </c>
      <c r="Q83" s="770"/>
    </row>
    <row r="84" spans="1:17" ht="24.75" customHeight="1" x14ac:dyDescent="0.25">
      <c r="A84" s="47">
        <f t="shared" si="0"/>
        <v>72</v>
      </c>
      <c r="B84" s="50"/>
      <c r="C84" s="799" t="s">
        <v>12</v>
      </c>
      <c r="D84" s="698"/>
      <c r="E84" s="698"/>
      <c r="F84" s="698"/>
      <c r="G84" s="698"/>
      <c r="H84" s="698"/>
      <c r="I84" s="699"/>
      <c r="J84" s="800"/>
      <c r="K84" s="770"/>
      <c r="L84" s="801" t="s">
        <v>129</v>
      </c>
      <c r="M84" s="770"/>
      <c r="N84" s="802"/>
      <c r="O84" s="770"/>
      <c r="P84" s="802" t="s">
        <v>129</v>
      </c>
      <c r="Q84" s="770"/>
    </row>
    <row r="85" spans="1:17" ht="24.75" customHeight="1" x14ac:dyDescent="0.25">
      <c r="A85" s="47">
        <f t="shared" si="0"/>
        <v>73</v>
      </c>
      <c r="B85" s="50"/>
      <c r="C85" s="799" t="s">
        <v>12</v>
      </c>
      <c r="D85" s="698"/>
      <c r="E85" s="698"/>
      <c r="F85" s="698"/>
      <c r="G85" s="698"/>
      <c r="H85" s="698"/>
      <c r="I85" s="699"/>
      <c r="J85" s="800"/>
      <c r="K85" s="770"/>
      <c r="L85" s="801" t="s">
        <v>129</v>
      </c>
      <c r="M85" s="770"/>
      <c r="N85" s="802"/>
      <c r="O85" s="770"/>
      <c r="P85" s="802" t="s">
        <v>129</v>
      </c>
      <c r="Q85" s="770"/>
    </row>
    <row r="86" spans="1:17" ht="24.75" customHeight="1" x14ac:dyDescent="0.25">
      <c r="A86" s="47">
        <f t="shared" si="0"/>
        <v>74</v>
      </c>
      <c r="B86" s="50"/>
      <c r="C86" s="799" t="s">
        <v>12</v>
      </c>
      <c r="D86" s="698"/>
      <c r="E86" s="698"/>
      <c r="F86" s="698"/>
      <c r="G86" s="698"/>
      <c r="H86" s="698"/>
      <c r="I86" s="699"/>
      <c r="J86" s="800"/>
      <c r="K86" s="770"/>
      <c r="L86" s="801" t="s">
        <v>129</v>
      </c>
      <c r="M86" s="770"/>
      <c r="N86" s="802"/>
      <c r="O86" s="770"/>
      <c r="P86" s="802" t="s">
        <v>129</v>
      </c>
      <c r="Q86" s="770"/>
    </row>
    <row r="87" spans="1:17" ht="24.75" customHeight="1" x14ac:dyDescent="0.25">
      <c r="A87" s="47">
        <f t="shared" si="0"/>
        <v>75</v>
      </c>
      <c r="B87" s="50"/>
      <c r="C87" s="799" t="s">
        <v>12</v>
      </c>
      <c r="D87" s="698"/>
      <c r="E87" s="698"/>
      <c r="F87" s="698"/>
      <c r="G87" s="698"/>
      <c r="H87" s="698"/>
      <c r="I87" s="699"/>
      <c r="J87" s="800"/>
      <c r="K87" s="770"/>
      <c r="L87" s="801" t="s">
        <v>129</v>
      </c>
      <c r="M87" s="770"/>
      <c r="N87" s="802"/>
      <c r="O87" s="770"/>
      <c r="P87" s="802" t="s">
        <v>129</v>
      </c>
      <c r="Q87" s="770"/>
    </row>
    <row r="88" spans="1:17" ht="24.75" customHeight="1" x14ac:dyDescent="0.25">
      <c r="A88" s="47">
        <f t="shared" si="0"/>
        <v>76</v>
      </c>
      <c r="B88" s="50"/>
      <c r="C88" s="799" t="s">
        <v>12</v>
      </c>
      <c r="D88" s="698"/>
      <c r="E88" s="698"/>
      <c r="F88" s="698"/>
      <c r="G88" s="698"/>
      <c r="H88" s="698"/>
      <c r="I88" s="699"/>
      <c r="J88" s="800"/>
      <c r="K88" s="770"/>
      <c r="L88" s="801" t="s">
        <v>129</v>
      </c>
      <c r="M88" s="770"/>
      <c r="N88" s="802"/>
      <c r="O88" s="770"/>
      <c r="P88" s="802" t="s">
        <v>129</v>
      </c>
      <c r="Q88" s="770"/>
    </row>
    <row r="89" spans="1:17" ht="24.75" customHeight="1" x14ac:dyDescent="0.25">
      <c r="A89" s="47">
        <f t="shared" si="0"/>
        <v>77</v>
      </c>
      <c r="B89" s="50"/>
      <c r="C89" s="799" t="s">
        <v>12</v>
      </c>
      <c r="D89" s="698"/>
      <c r="E89" s="698"/>
      <c r="F89" s="698"/>
      <c r="G89" s="698"/>
      <c r="H89" s="698"/>
      <c r="I89" s="699"/>
      <c r="J89" s="800"/>
      <c r="K89" s="770"/>
      <c r="L89" s="801" t="s">
        <v>129</v>
      </c>
      <c r="M89" s="770"/>
      <c r="N89" s="802"/>
      <c r="O89" s="770"/>
      <c r="P89" s="802" t="s">
        <v>129</v>
      </c>
      <c r="Q89" s="770"/>
    </row>
    <row r="90" spans="1:17" ht="24.75" customHeight="1" x14ac:dyDescent="0.25">
      <c r="A90" s="47">
        <f t="shared" si="0"/>
        <v>78</v>
      </c>
      <c r="B90" s="50"/>
      <c r="C90" s="799" t="s">
        <v>12</v>
      </c>
      <c r="D90" s="698"/>
      <c r="E90" s="698"/>
      <c r="F90" s="698"/>
      <c r="G90" s="698"/>
      <c r="H90" s="698"/>
      <c r="I90" s="699"/>
      <c r="J90" s="800"/>
      <c r="K90" s="770"/>
      <c r="L90" s="801" t="s">
        <v>129</v>
      </c>
      <c r="M90" s="770"/>
      <c r="N90" s="802"/>
      <c r="O90" s="770"/>
      <c r="P90" s="802" t="s">
        <v>129</v>
      </c>
      <c r="Q90" s="770"/>
    </row>
    <row r="91" spans="1:17" ht="24.75" customHeight="1" x14ac:dyDescent="0.25">
      <c r="A91" s="47">
        <f t="shared" si="0"/>
        <v>79</v>
      </c>
      <c r="B91" s="50"/>
      <c r="C91" s="799" t="s">
        <v>12</v>
      </c>
      <c r="D91" s="698"/>
      <c r="E91" s="698"/>
      <c r="F91" s="698"/>
      <c r="G91" s="698"/>
      <c r="H91" s="698"/>
      <c r="I91" s="699"/>
      <c r="J91" s="800"/>
      <c r="K91" s="770"/>
      <c r="L91" s="801" t="s">
        <v>129</v>
      </c>
      <c r="M91" s="770"/>
      <c r="N91" s="802"/>
      <c r="O91" s="770"/>
      <c r="P91" s="802" t="s">
        <v>129</v>
      </c>
      <c r="Q91" s="770"/>
    </row>
    <row r="92" spans="1:17" ht="24.75" customHeight="1" x14ac:dyDescent="0.25">
      <c r="A92" s="47">
        <f t="shared" si="0"/>
        <v>80</v>
      </c>
      <c r="B92" s="50"/>
      <c r="C92" s="799" t="s">
        <v>12</v>
      </c>
      <c r="D92" s="698"/>
      <c r="E92" s="698"/>
      <c r="F92" s="698"/>
      <c r="G92" s="698"/>
      <c r="H92" s="698"/>
      <c r="I92" s="699"/>
      <c r="J92" s="800"/>
      <c r="K92" s="770"/>
      <c r="L92" s="801" t="s">
        <v>129</v>
      </c>
      <c r="M92" s="770"/>
      <c r="N92" s="802"/>
      <c r="O92" s="770"/>
      <c r="P92" s="802" t="s">
        <v>129</v>
      </c>
      <c r="Q92" s="770"/>
    </row>
    <row r="93" spans="1:17" ht="24.75" customHeight="1" x14ac:dyDescent="0.25">
      <c r="A93" s="47">
        <f t="shared" si="0"/>
        <v>81</v>
      </c>
      <c r="B93" s="50"/>
      <c r="C93" s="799" t="s">
        <v>12</v>
      </c>
      <c r="D93" s="698"/>
      <c r="E93" s="698"/>
      <c r="F93" s="698"/>
      <c r="G93" s="698"/>
      <c r="H93" s="698"/>
      <c r="I93" s="699"/>
      <c r="J93" s="800"/>
      <c r="K93" s="770"/>
      <c r="L93" s="801" t="s">
        <v>129</v>
      </c>
      <c r="M93" s="770"/>
      <c r="N93" s="802"/>
      <c r="O93" s="770"/>
      <c r="P93" s="802" t="s">
        <v>129</v>
      </c>
      <c r="Q93" s="770"/>
    </row>
    <row r="94" spans="1:17" ht="24.75" customHeight="1" x14ac:dyDescent="0.25">
      <c r="A94" s="47">
        <f t="shared" si="0"/>
        <v>82</v>
      </c>
      <c r="B94" s="50"/>
      <c r="C94" s="799" t="s">
        <v>12</v>
      </c>
      <c r="D94" s="698"/>
      <c r="E94" s="698"/>
      <c r="F94" s="698"/>
      <c r="G94" s="698"/>
      <c r="H94" s="698"/>
      <c r="I94" s="699"/>
      <c r="J94" s="800"/>
      <c r="K94" s="770"/>
      <c r="L94" s="801" t="s">
        <v>129</v>
      </c>
      <c r="M94" s="770"/>
      <c r="N94" s="802"/>
      <c r="O94" s="770"/>
      <c r="P94" s="802" t="s">
        <v>129</v>
      </c>
      <c r="Q94" s="770"/>
    </row>
    <row r="95" spans="1:17" ht="24.75" customHeight="1" x14ac:dyDescent="0.25">
      <c r="A95" s="47">
        <f t="shared" si="0"/>
        <v>83</v>
      </c>
      <c r="B95" s="50"/>
      <c r="C95" s="799" t="s">
        <v>12</v>
      </c>
      <c r="D95" s="698"/>
      <c r="E95" s="698"/>
      <c r="F95" s="698"/>
      <c r="G95" s="698"/>
      <c r="H95" s="698"/>
      <c r="I95" s="699"/>
      <c r="J95" s="800"/>
      <c r="K95" s="770"/>
      <c r="L95" s="801" t="s">
        <v>129</v>
      </c>
      <c r="M95" s="770"/>
      <c r="N95" s="802"/>
      <c r="O95" s="770"/>
      <c r="P95" s="802" t="s">
        <v>129</v>
      </c>
      <c r="Q95" s="770"/>
    </row>
    <row r="96" spans="1:17" ht="24.75" customHeight="1" x14ac:dyDescent="0.25">
      <c r="A96" s="47">
        <f t="shared" si="0"/>
        <v>84</v>
      </c>
      <c r="B96" s="50"/>
      <c r="C96" s="799" t="s">
        <v>12</v>
      </c>
      <c r="D96" s="698"/>
      <c r="E96" s="698"/>
      <c r="F96" s="698"/>
      <c r="G96" s="698"/>
      <c r="H96" s="698"/>
      <c r="I96" s="699"/>
      <c r="J96" s="800"/>
      <c r="K96" s="770"/>
      <c r="L96" s="801" t="s">
        <v>129</v>
      </c>
      <c r="M96" s="770"/>
      <c r="N96" s="802"/>
      <c r="O96" s="770"/>
      <c r="P96" s="802" t="s">
        <v>129</v>
      </c>
      <c r="Q96" s="770"/>
    </row>
    <row r="97" spans="1:17" ht="24.75" customHeight="1" x14ac:dyDescent="0.25">
      <c r="A97" s="47">
        <f t="shared" si="0"/>
        <v>85</v>
      </c>
      <c r="B97" s="50"/>
      <c r="C97" s="799" t="s">
        <v>12</v>
      </c>
      <c r="D97" s="698"/>
      <c r="E97" s="698"/>
      <c r="F97" s="698"/>
      <c r="G97" s="698"/>
      <c r="H97" s="698"/>
      <c r="I97" s="699"/>
      <c r="J97" s="800"/>
      <c r="K97" s="770"/>
      <c r="L97" s="801" t="s">
        <v>129</v>
      </c>
      <c r="M97" s="770"/>
      <c r="N97" s="802"/>
      <c r="O97" s="770"/>
      <c r="P97" s="802" t="s">
        <v>129</v>
      </c>
      <c r="Q97" s="770"/>
    </row>
    <row r="98" spans="1:17" ht="24.75" customHeight="1" x14ac:dyDescent="0.25">
      <c r="A98" s="47">
        <f t="shared" si="0"/>
        <v>86</v>
      </c>
      <c r="B98" s="50"/>
      <c r="C98" s="799" t="s">
        <v>12</v>
      </c>
      <c r="D98" s="698"/>
      <c r="E98" s="698"/>
      <c r="F98" s="698"/>
      <c r="G98" s="698"/>
      <c r="H98" s="698"/>
      <c r="I98" s="699"/>
      <c r="J98" s="800"/>
      <c r="K98" s="770"/>
      <c r="L98" s="801" t="s">
        <v>129</v>
      </c>
      <c r="M98" s="770"/>
      <c r="N98" s="802"/>
      <c r="O98" s="770"/>
      <c r="P98" s="802" t="s">
        <v>129</v>
      </c>
      <c r="Q98" s="770"/>
    </row>
    <row r="99" spans="1:17" ht="24.75" customHeight="1" x14ac:dyDescent="0.25">
      <c r="A99" s="47">
        <f t="shared" si="0"/>
        <v>87</v>
      </c>
      <c r="B99" s="50"/>
      <c r="C99" s="799" t="s">
        <v>12</v>
      </c>
      <c r="D99" s="698"/>
      <c r="E99" s="698"/>
      <c r="F99" s="698"/>
      <c r="G99" s="698"/>
      <c r="H99" s="698"/>
      <c r="I99" s="699"/>
      <c r="J99" s="800"/>
      <c r="K99" s="770"/>
      <c r="L99" s="801" t="s">
        <v>129</v>
      </c>
      <c r="M99" s="770"/>
      <c r="N99" s="802"/>
      <c r="O99" s="770"/>
      <c r="P99" s="802" t="s">
        <v>129</v>
      </c>
      <c r="Q99" s="770"/>
    </row>
    <row r="100" spans="1:17" ht="24.75" customHeight="1" x14ac:dyDescent="0.25">
      <c r="A100" s="47">
        <f t="shared" si="0"/>
        <v>88</v>
      </c>
      <c r="B100" s="50"/>
      <c r="C100" s="799" t="s">
        <v>12</v>
      </c>
      <c r="D100" s="698"/>
      <c r="E100" s="698"/>
      <c r="F100" s="698"/>
      <c r="G100" s="698"/>
      <c r="H100" s="698"/>
      <c r="I100" s="699"/>
      <c r="J100" s="800"/>
      <c r="K100" s="770"/>
      <c r="L100" s="801" t="s">
        <v>129</v>
      </c>
      <c r="M100" s="770"/>
      <c r="N100" s="802"/>
      <c r="O100" s="770"/>
      <c r="P100" s="802" t="s">
        <v>129</v>
      </c>
      <c r="Q100" s="770"/>
    </row>
    <row r="101" spans="1:17" ht="24.75" customHeight="1" x14ac:dyDescent="0.25">
      <c r="A101" s="47">
        <f t="shared" si="0"/>
        <v>89</v>
      </c>
      <c r="B101" s="50"/>
      <c r="C101" s="799" t="s">
        <v>12</v>
      </c>
      <c r="D101" s="698"/>
      <c r="E101" s="698"/>
      <c r="F101" s="698"/>
      <c r="G101" s="698"/>
      <c r="H101" s="698"/>
      <c r="I101" s="699"/>
      <c r="J101" s="800"/>
      <c r="K101" s="770"/>
      <c r="L101" s="801" t="s">
        <v>129</v>
      </c>
      <c r="M101" s="770"/>
      <c r="N101" s="802"/>
      <c r="O101" s="770"/>
      <c r="P101" s="802" t="s">
        <v>129</v>
      </c>
      <c r="Q101" s="770"/>
    </row>
    <row r="102" spans="1:17" ht="24.75" customHeight="1" x14ac:dyDescent="0.25">
      <c r="A102" s="47">
        <f t="shared" si="0"/>
        <v>90</v>
      </c>
      <c r="B102" s="50"/>
      <c r="C102" s="799" t="s">
        <v>12</v>
      </c>
      <c r="D102" s="698"/>
      <c r="E102" s="698"/>
      <c r="F102" s="698"/>
      <c r="G102" s="698"/>
      <c r="H102" s="698"/>
      <c r="I102" s="699"/>
      <c r="J102" s="800"/>
      <c r="K102" s="770"/>
      <c r="L102" s="801" t="s">
        <v>129</v>
      </c>
      <c r="M102" s="770"/>
      <c r="N102" s="802"/>
      <c r="O102" s="770"/>
      <c r="P102" s="802" t="s">
        <v>129</v>
      </c>
      <c r="Q102" s="770"/>
    </row>
    <row r="103" spans="1:17" ht="24.75" customHeight="1" x14ac:dyDescent="0.25">
      <c r="A103" s="47">
        <f t="shared" si="0"/>
        <v>91</v>
      </c>
      <c r="B103" s="50"/>
      <c r="C103" s="799" t="s">
        <v>12</v>
      </c>
      <c r="D103" s="698"/>
      <c r="E103" s="698"/>
      <c r="F103" s="698"/>
      <c r="G103" s="698"/>
      <c r="H103" s="698"/>
      <c r="I103" s="699"/>
      <c r="J103" s="800"/>
      <c r="K103" s="770"/>
      <c r="L103" s="801" t="s">
        <v>129</v>
      </c>
      <c r="M103" s="770"/>
      <c r="N103" s="802"/>
      <c r="O103" s="770"/>
      <c r="P103" s="802" t="s">
        <v>129</v>
      </c>
      <c r="Q103" s="770"/>
    </row>
    <row r="104" spans="1:17" ht="24.75" customHeight="1" x14ac:dyDescent="0.25">
      <c r="A104" s="47">
        <f t="shared" si="0"/>
        <v>92</v>
      </c>
      <c r="B104" s="50"/>
      <c r="C104" s="799" t="s">
        <v>12</v>
      </c>
      <c r="D104" s="698"/>
      <c r="E104" s="698"/>
      <c r="F104" s="698"/>
      <c r="G104" s="698"/>
      <c r="H104" s="698"/>
      <c r="I104" s="699"/>
      <c r="J104" s="800"/>
      <c r="K104" s="770"/>
      <c r="L104" s="801" t="s">
        <v>129</v>
      </c>
      <c r="M104" s="770"/>
      <c r="N104" s="802"/>
      <c r="O104" s="770"/>
      <c r="P104" s="802" t="s">
        <v>129</v>
      </c>
      <c r="Q104" s="770"/>
    </row>
    <row r="105" spans="1:17" ht="24.75" customHeight="1" x14ac:dyDescent="0.25">
      <c r="A105" s="47">
        <f t="shared" si="0"/>
        <v>93</v>
      </c>
      <c r="B105" s="50"/>
      <c r="C105" s="799" t="s">
        <v>12</v>
      </c>
      <c r="D105" s="698"/>
      <c r="E105" s="698"/>
      <c r="F105" s="698"/>
      <c r="G105" s="698"/>
      <c r="H105" s="698"/>
      <c r="I105" s="699"/>
      <c r="J105" s="800"/>
      <c r="K105" s="770"/>
      <c r="L105" s="801" t="s">
        <v>129</v>
      </c>
      <c r="M105" s="770"/>
      <c r="N105" s="802"/>
      <c r="O105" s="770"/>
      <c r="P105" s="802" t="s">
        <v>129</v>
      </c>
      <c r="Q105" s="770"/>
    </row>
    <row r="106" spans="1:17" ht="24.75" customHeight="1" x14ac:dyDescent="0.25">
      <c r="A106" s="47">
        <f t="shared" si="0"/>
        <v>94</v>
      </c>
      <c r="B106" s="50"/>
      <c r="C106" s="799" t="s">
        <v>12</v>
      </c>
      <c r="D106" s="698"/>
      <c r="E106" s="698"/>
      <c r="F106" s="698"/>
      <c r="G106" s="698"/>
      <c r="H106" s="698"/>
      <c r="I106" s="699"/>
      <c r="J106" s="800"/>
      <c r="K106" s="770"/>
      <c r="L106" s="801" t="s">
        <v>129</v>
      </c>
      <c r="M106" s="770"/>
      <c r="N106" s="802"/>
      <c r="O106" s="770"/>
      <c r="P106" s="802" t="s">
        <v>129</v>
      </c>
      <c r="Q106" s="770"/>
    </row>
    <row r="107" spans="1:17" ht="24.75" customHeight="1" x14ac:dyDescent="0.25">
      <c r="A107" s="47">
        <f t="shared" si="0"/>
        <v>95</v>
      </c>
      <c r="B107" s="50"/>
      <c r="C107" s="799" t="s">
        <v>12</v>
      </c>
      <c r="D107" s="698"/>
      <c r="E107" s="698"/>
      <c r="F107" s="698"/>
      <c r="G107" s="698"/>
      <c r="H107" s="698"/>
      <c r="I107" s="699"/>
      <c r="J107" s="800"/>
      <c r="K107" s="770"/>
      <c r="L107" s="801" t="s">
        <v>129</v>
      </c>
      <c r="M107" s="770"/>
      <c r="N107" s="802"/>
      <c r="O107" s="770"/>
      <c r="P107" s="802" t="s">
        <v>129</v>
      </c>
      <c r="Q107" s="770"/>
    </row>
    <row r="108" spans="1:17" ht="24.75" customHeight="1" x14ac:dyDescent="0.25">
      <c r="A108" s="47">
        <f t="shared" si="0"/>
        <v>96</v>
      </c>
      <c r="B108" s="50"/>
      <c r="C108" s="799" t="s">
        <v>12</v>
      </c>
      <c r="D108" s="698"/>
      <c r="E108" s="698"/>
      <c r="F108" s="698"/>
      <c r="G108" s="698"/>
      <c r="H108" s="698"/>
      <c r="I108" s="699"/>
      <c r="J108" s="800"/>
      <c r="K108" s="770"/>
      <c r="L108" s="801" t="s">
        <v>129</v>
      </c>
      <c r="M108" s="770"/>
      <c r="N108" s="802"/>
      <c r="O108" s="770"/>
      <c r="P108" s="802" t="s">
        <v>129</v>
      </c>
      <c r="Q108" s="770"/>
    </row>
    <row r="109" spans="1:17" ht="24.75" customHeight="1" x14ac:dyDescent="0.25">
      <c r="A109" s="47">
        <f t="shared" si="0"/>
        <v>97</v>
      </c>
      <c r="B109" s="50"/>
      <c r="C109" s="799" t="s">
        <v>12</v>
      </c>
      <c r="D109" s="698"/>
      <c r="E109" s="698"/>
      <c r="F109" s="698"/>
      <c r="G109" s="698"/>
      <c r="H109" s="698"/>
      <c r="I109" s="699"/>
      <c r="J109" s="800"/>
      <c r="K109" s="770"/>
      <c r="L109" s="801" t="s">
        <v>129</v>
      </c>
      <c r="M109" s="770"/>
      <c r="N109" s="802"/>
      <c r="O109" s="770"/>
      <c r="P109" s="802" t="s">
        <v>129</v>
      </c>
      <c r="Q109" s="770"/>
    </row>
    <row r="110" spans="1:17" ht="24.75" customHeight="1" x14ac:dyDescent="0.25">
      <c r="A110" s="47">
        <f t="shared" si="0"/>
        <v>98</v>
      </c>
      <c r="B110" s="50"/>
      <c r="C110" s="799" t="s">
        <v>12</v>
      </c>
      <c r="D110" s="698"/>
      <c r="E110" s="698"/>
      <c r="F110" s="698"/>
      <c r="G110" s="698"/>
      <c r="H110" s="698"/>
      <c r="I110" s="699"/>
      <c r="J110" s="800"/>
      <c r="K110" s="770"/>
      <c r="L110" s="801" t="s">
        <v>129</v>
      </c>
      <c r="M110" s="770"/>
      <c r="N110" s="802"/>
      <c r="O110" s="770"/>
      <c r="P110" s="802" t="s">
        <v>129</v>
      </c>
      <c r="Q110" s="770"/>
    </row>
    <row r="111" spans="1:17" ht="24.75" customHeight="1" x14ac:dyDescent="0.25">
      <c r="A111" s="47">
        <f t="shared" si="0"/>
        <v>99</v>
      </c>
      <c r="B111" s="50"/>
      <c r="C111" s="799" t="s">
        <v>12</v>
      </c>
      <c r="D111" s="698"/>
      <c r="E111" s="698"/>
      <c r="F111" s="698"/>
      <c r="G111" s="698"/>
      <c r="H111" s="698"/>
      <c r="I111" s="699"/>
      <c r="J111" s="800"/>
      <c r="K111" s="770"/>
      <c r="L111" s="801" t="s">
        <v>129</v>
      </c>
      <c r="M111" s="770"/>
      <c r="N111" s="802"/>
      <c r="O111" s="770"/>
      <c r="P111" s="802" t="s">
        <v>129</v>
      </c>
      <c r="Q111" s="770"/>
    </row>
    <row r="112" spans="1:17" ht="24.75" customHeight="1" x14ac:dyDescent="0.25">
      <c r="A112" s="47">
        <f t="shared" si="0"/>
        <v>100</v>
      </c>
      <c r="B112" s="50"/>
      <c r="C112" s="799" t="s">
        <v>12</v>
      </c>
      <c r="D112" s="698"/>
      <c r="E112" s="698"/>
      <c r="F112" s="698"/>
      <c r="G112" s="698"/>
      <c r="H112" s="698"/>
      <c r="I112" s="699"/>
      <c r="J112" s="800"/>
      <c r="K112" s="770"/>
      <c r="L112" s="801" t="s">
        <v>129</v>
      </c>
      <c r="M112" s="770"/>
      <c r="N112" s="802"/>
      <c r="O112" s="770"/>
      <c r="P112" s="802" t="s">
        <v>129</v>
      </c>
      <c r="Q112" s="770"/>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34">
    <mergeCell ref="C65:I65"/>
    <mergeCell ref="J65:K65"/>
    <mergeCell ref="L65:M65"/>
    <mergeCell ref="N65:O65"/>
    <mergeCell ref="P65:Q65"/>
    <mergeCell ref="L112:M112"/>
    <mergeCell ref="N112:O112"/>
    <mergeCell ref="C111:I111"/>
    <mergeCell ref="J111:K111"/>
    <mergeCell ref="L111:M111"/>
    <mergeCell ref="N111:O111"/>
    <mergeCell ref="P111:Q111"/>
    <mergeCell ref="C112:I112"/>
    <mergeCell ref="J112:K112"/>
    <mergeCell ref="P112:Q112"/>
    <mergeCell ref="C105:I105"/>
    <mergeCell ref="L107:M107"/>
    <mergeCell ref="N107:O107"/>
    <mergeCell ref="J109:K109"/>
    <mergeCell ref="L109:M109"/>
    <mergeCell ref="J107:K107"/>
    <mergeCell ref="P107:Q107"/>
    <mergeCell ref="N109:O109"/>
    <mergeCell ref="P109:Q109"/>
    <mergeCell ref="C59:I59"/>
    <mergeCell ref="J59:K59"/>
    <mergeCell ref="L59:M59"/>
    <mergeCell ref="N59:O59"/>
    <mergeCell ref="P59:Q59"/>
    <mergeCell ref="C60:I60"/>
    <mergeCell ref="L62:M62"/>
    <mergeCell ref="N62:O62"/>
    <mergeCell ref="J64:K64"/>
    <mergeCell ref="L64:M64"/>
    <mergeCell ref="J62:K62"/>
    <mergeCell ref="P62:Q62"/>
    <mergeCell ref="N64:O64"/>
    <mergeCell ref="P64:Q64"/>
    <mergeCell ref="C62:I62"/>
    <mergeCell ref="C63:I63"/>
    <mergeCell ref="J63:K63"/>
    <mergeCell ref="L63:M63"/>
    <mergeCell ref="N63:O63"/>
    <mergeCell ref="P63:Q63"/>
    <mergeCell ref="C64:I64"/>
    <mergeCell ref="C56:I56"/>
    <mergeCell ref="J56:K56"/>
    <mergeCell ref="L56:M56"/>
    <mergeCell ref="N56:O56"/>
    <mergeCell ref="P56:Q56"/>
    <mergeCell ref="C61:I61"/>
    <mergeCell ref="J61:K61"/>
    <mergeCell ref="L61:M61"/>
    <mergeCell ref="N61:O61"/>
    <mergeCell ref="P61:Q61"/>
    <mergeCell ref="L58:M58"/>
    <mergeCell ref="N58:O58"/>
    <mergeCell ref="C57:I57"/>
    <mergeCell ref="J57:K57"/>
    <mergeCell ref="L57:M57"/>
    <mergeCell ref="N57:O57"/>
    <mergeCell ref="P57:Q57"/>
    <mergeCell ref="J58:K58"/>
    <mergeCell ref="P58:Q58"/>
    <mergeCell ref="J60:K60"/>
    <mergeCell ref="L60:M60"/>
    <mergeCell ref="N60:O60"/>
    <mergeCell ref="P60:Q60"/>
    <mergeCell ref="C58:I58"/>
    <mergeCell ref="C49:I49"/>
    <mergeCell ref="C50:I50"/>
    <mergeCell ref="J50:K50"/>
    <mergeCell ref="L50:M50"/>
    <mergeCell ref="N50:O50"/>
    <mergeCell ref="P50:Q50"/>
    <mergeCell ref="C51:I51"/>
    <mergeCell ref="L53:M53"/>
    <mergeCell ref="N53:O53"/>
    <mergeCell ref="J53:K53"/>
    <mergeCell ref="P53:Q53"/>
    <mergeCell ref="N55:O55"/>
    <mergeCell ref="P55:Q55"/>
    <mergeCell ref="C53:I53"/>
    <mergeCell ref="C54:I54"/>
    <mergeCell ref="J54:K54"/>
    <mergeCell ref="L54:M54"/>
    <mergeCell ref="N54:O54"/>
    <mergeCell ref="P54:Q54"/>
    <mergeCell ref="C55:I55"/>
    <mergeCell ref="J55:K55"/>
    <mergeCell ref="L55:M55"/>
    <mergeCell ref="L46:M46"/>
    <mergeCell ref="C47:I47"/>
    <mergeCell ref="J47:K47"/>
    <mergeCell ref="L47:M47"/>
    <mergeCell ref="N47:O47"/>
    <mergeCell ref="P47:Q47"/>
    <mergeCell ref="C52:I52"/>
    <mergeCell ref="J52:K52"/>
    <mergeCell ref="L52:M52"/>
    <mergeCell ref="N52:O52"/>
    <mergeCell ref="P52:Q52"/>
    <mergeCell ref="L49:M49"/>
    <mergeCell ref="N49:O49"/>
    <mergeCell ref="C48:I48"/>
    <mergeCell ref="J48:K48"/>
    <mergeCell ref="L48:M48"/>
    <mergeCell ref="N48:O48"/>
    <mergeCell ref="P48:Q48"/>
    <mergeCell ref="J49:K49"/>
    <mergeCell ref="P49:Q49"/>
    <mergeCell ref="J51:K51"/>
    <mergeCell ref="L51:M51"/>
    <mergeCell ref="N51:O51"/>
    <mergeCell ref="P51:Q51"/>
    <mergeCell ref="J42:K42"/>
    <mergeCell ref="L42:M42"/>
    <mergeCell ref="N42:O42"/>
    <mergeCell ref="P42:Q42"/>
    <mergeCell ref="C40:I40"/>
    <mergeCell ref="C41:I41"/>
    <mergeCell ref="J41:K41"/>
    <mergeCell ref="L41:M41"/>
    <mergeCell ref="N41:O41"/>
    <mergeCell ref="P41:Q41"/>
    <mergeCell ref="C42:I42"/>
    <mergeCell ref="L40:M40"/>
    <mergeCell ref="N40:O40"/>
    <mergeCell ref="C39:I39"/>
    <mergeCell ref="J39:K39"/>
    <mergeCell ref="L39:M39"/>
    <mergeCell ref="N39:O39"/>
    <mergeCell ref="P39:Q39"/>
    <mergeCell ref="J40:K40"/>
    <mergeCell ref="P40:Q40"/>
    <mergeCell ref="C110:I110"/>
    <mergeCell ref="J110:K110"/>
    <mergeCell ref="L110:M110"/>
    <mergeCell ref="N110:O110"/>
    <mergeCell ref="P110:Q110"/>
    <mergeCell ref="C43:I43"/>
    <mergeCell ref="J43:K43"/>
    <mergeCell ref="L43:M43"/>
    <mergeCell ref="N43:O43"/>
    <mergeCell ref="P43:Q43"/>
    <mergeCell ref="J44:K44"/>
    <mergeCell ref="P44:Q44"/>
    <mergeCell ref="N46:O46"/>
    <mergeCell ref="P46:Q46"/>
    <mergeCell ref="C44:I44"/>
    <mergeCell ref="C45:I45"/>
    <mergeCell ref="J45:K45"/>
    <mergeCell ref="L45:M45"/>
    <mergeCell ref="N45:O45"/>
    <mergeCell ref="P45:Q45"/>
    <mergeCell ref="C46:I46"/>
    <mergeCell ref="L44:M44"/>
    <mergeCell ref="N44:O44"/>
    <mergeCell ref="J46:K46"/>
    <mergeCell ref="C104:I104"/>
    <mergeCell ref="J104:K104"/>
    <mergeCell ref="L104:M104"/>
    <mergeCell ref="N104:O104"/>
    <mergeCell ref="P104:Q104"/>
    <mergeCell ref="J103:K103"/>
    <mergeCell ref="P103:Q103"/>
    <mergeCell ref="P99:Q99"/>
    <mergeCell ref="C100:I100"/>
    <mergeCell ref="C92:I92"/>
    <mergeCell ref="J92:K92"/>
    <mergeCell ref="L92:M92"/>
    <mergeCell ref="N92:O92"/>
    <mergeCell ref="P92:Q92"/>
    <mergeCell ref="C97:I97"/>
    <mergeCell ref="J97:K97"/>
    <mergeCell ref="L97:M97"/>
    <mergeCell ref="C107:I107"/>
    <mergeCell ref="C108:I108"/>
    <mergeCell ref="J108:K108"/>
    <mergeCell ref="L108:M108"/>
    <mergeCell ref="N108:O108"/>
    <mergeCell ref="P108:Q108"/>
    <mergeCell ref="C109:I109"/>
    <mergeCell ref="C101:I101"/>
    <mergeCell ref="J101:K101"/>
    <mergeCell ref="L101:M101"/>
    <mergeCell ref="N101:O101"/>
    <mergeCell ref="P101:Q101"/>
    <mergeCell ref="C106:I106"/>
    <mergeCell ref="J106:K106"/>
    <mergeCell ref="L106:M106"/>
    <mergeCell ref="N106:O106"/>
    <mergeCell ref="P106:Q106"/>
    <mergeCell ref="L103:M103"/>
    <mergeCell ref="N103:O103"/>
    <mergeCell ref="C102:I102"/>
    <mergeCell ref="J102:K102"/>
    <mergeCell ref="L102:M102"/>
    <mergeCell ref="N102:O102"/>
    <mergeCell ref="P102:Q102"/>
    <mergeCell ref="J105:K105"/>
    <mergeCell ref="L105:M105"/>
    <mergeCell ref="N105:O105"/>
    <mergeCell ref="P105:Q105"/>
    <mergeCell ref="C103:I103"/>
    <mergeCell ref="C95:I95"/>
    <mergeCell ref="J95:K95"/>
    <mergeCell ref="L95:M95"/>
    <mergeCell ref="N95:O95"/>
    <mergeCell ref="P95:Q95"/>
    <mergeCell ref="C96:I96"/>
    <mergeCell ref="L98:M98"/>
    <mergeCell ref="N98:O98"/>
    <mergeCell ref="J100:K100"/>
    <mergeCell ref="L100:M100"/>
    <mergeCell ref="J98:K98"/>
    <mergeCell ref="P98:Q98"/>
    <mergeCell ref="N100:O100"/>
    <mergeCell ref="P100:Q100"/>
    <mergeCell ref="C98:I98"/>
    <mergeCell ref="C99:I99"/>
    <mergeCell ref="J99:K99"/>
    <mergeCell ref="L99:M99"/>
    <mergeCell ref="N99:O99"/>
    <mergeCell ref="N97:O97"/>
    <mergeCell ref="P97:Q97"/>
    <mergeCell ref="L94:M94"/>
    <mergeCell ref="N94:O94"/>
    <mergeCell ref="C93:I93"/>
    <mergeCell ref="J93:K93"/>
    <mergeCell ref="L93:M93"/>
    <mergeCell ref="N93:O93"/>
    <mergeCell ref="P93:Q93"/>
    <mergeCell ref="J94:K94"/>
    <mergeCell ref="P94:Q94"/>
    <mergeCell ref="J96:K96"/>
    <mergeCell ref="L96:M96"/>
    <mergeCell ref="N96:O96"/>
    <mergeCell ref="P96:Q96"/>
    <mergeCell ref="C94:I94"/>
    <mergeCell ref="C86:I86"/>
    <mergeCell ref="J86:K86"/>
    <mergeCell ref="L86:M86"/>
    <mergeCell ref="N86:O86"/>
    <mergeCell ref="P86:Q86"/>
    <mergeCell ref="C87:I87"/>
    <mergeCell ref="L89:M89"/>
    <mergeCell ref="N89:O89"/>
    <mergeCell ref="J91:K91"/>
    <mergeCell ref="L91:M91"/>
    <mergeCell ref="J89:K89"/>
    <mergeCell ref="P89:Q89"/>
    <mergeCell ref="N91:O91"/>
    <mergeCell ref="P91:Q91"/>
    <mergeCell ref="C89:I89"/>
    <mergeCell ref="C90:I90"/>
    <mergeCell ref="J90:K90"/>
    <mergeCell ref="L90:M90"/>
    <mergeCell ref="N90:O90"/>
    <mergeCell ref="P90:Q90"/>
    <mergeCell ref="C91:I91"/>
    <mergeCell ref="C83:I83"/>
    <mergeCell ref="J83:K83"/>
    <mergeCell ref="L83:M83"/>
    <mergeCell ref="N83:O83"/>
    <mergeCell ref="P83:Q83"/>
    <mergeCell ref="C88:I88"/>
    <mergeCell ref="J88:K88"/>
    <mergeCell ref="L88:M88"/>
    <mergeCell ref="N88:O88"/>
    <mergeCell ref="P88:Q88"/>
    <mergeCell ref="L85:M85"/>
    <mergeCell ref="N85:O85"/>
    <mergeCell ref="C84:I84"/>
    <mergeCell ref="J84:K84"/>
    <mergeCell ref="L84:M84"/>
    <mergeCell ref="N84:O84"/>
    <mergeCell ref="P84:Q84"/>
    <mergeCell ref="J85:K85"/>
    <mergeCell ref="P85:Q85"/>
    <mergeCell ref="J87:K87"/>
    <mergeCell ref="L87:M87"/>
    <mergeCell ref="N87:O87"/>
    <mergeCell ref="P87:Q87"/>
    <mergeCell ref="C85:I85"/>
    <mergeCell ref="C77:I77"/>
    <mergeCell ref="J77:K77"/>
    <mergeCell ref="L77:M77"/>
    <mergeCell ref="N77:O77"/>
    <mergeCell ref="P77:Q77"/>
    <mergeCell ref="C78:I78"/>
    <mergeCell ref="L80:M80"/>
    <mergeCell ref="N80:O80"/>
    <mergeCell ref="J82:K82"/>
    <mergeCell ref="L82:M82"/>
    <mergeCell ref="J80:K80"/>
    <mergeCell ref="P80:Q80"/>
    <mergeCell ref="N82:O82"/>
    <mergeCell ref="P82:Q82"/>
    <mergeCell ref="C80:I80"/>
    <mergeCell ref="C81:I81"/>
    <mergeCell ref="J81:K81"/>
    <mergeCell ref="L81:M81"/>
    <mergeCell ref="N81:O81"/>
    <mergeCell ref="P81:Q81"/>
    <mergeCell ref="C82:I82"/>
    <mergeCell ref="C74:I74"/>
    <mergeCell ref="J74:K74"/>
    <mergeCell ref="L74:M74"/>
    <mergeCell ref="N74:O74"/>
    <mergeCell ref="P74:Q74"/>
    <mergeCell ref="C79:I79"/>
    <mergeCell ref="J79:K79"/>
    <mergeCell ref="L79:M79"/>
    <mergeCell ref="N79:O79"/>
    <mergeCell ref="P79:Q79"/>
    <mergeCell ref="L76:M76"/>
    <mergeCell ref="N76:O76"/>
    <mergeCell ref="C75:I75"/>
    <mergeCell ref="J75:K75"/>
    <mergeCell ref="L75:M75"/>
    <mergeCell ref="N75:O75"/>
    <mergeCell ref="P75:Q75"/>
    <mergeCell ref="J76:K76"/>
    <mergeCell ref="P76:Q76"/>
    <mergeCell ref="J78:K78"/>
    <mergeCell ref="L78:M78"/>
    <mergeCell ref="N78:O78"/>
    <mergeCell ref="P78:Q78"/>
    <mergeCell ref="C76:I76"/>
    <mergeCell ref="C68:I68"/>
    <mergeCell ref="J68:K68"/>
    <mergeCell ref="L68:M68"/>
    <mergeCell ref="N68:O68"/>
    <mergeCell ref="P68:Q68"/>
    <mergeCell ref="C69:I69"/>
    <mergeCell ref="L71:M71"/>
    <mergeCell ref="N71:O71"/>
    <mergeCell ref="J73:K73"/>
    <mergeCell ref="L73:M73"/>
    <mergeCell ref="J71:K71"/>
    <mergeCell ref="P71:Q71"/>
    <mergeCell ref="N73:O73"/>
    <mergeCell ref="P73:Q73"/>
    <mergeCell ref="C71:I71"/>
    <mergeCell ref="C72:I72"/>
    <mergeCell ref="J72:K72"/>
    <mergeCell ref="L72:M72"/>
    <mergeCell ref="N72:O72"/>
    <mergeCell ref="P72:Q72"/>
    <mergeCell ref="C73:I73"/>
    <mergeCell ref="C38:I38"/>
    <mergeCell ref="J38:K38"/>
    <mergeCell ref="L38:M38"/>
    <mergeCell ref="N38:O38"/>
    <mergeCell ref="P38:Q38"/>
    <mergeCell ref="C70:I70"/>
    <mergeCell ref="J70:K70"/>
    <mergeCell ref="L70:M70"/>
    <mergeCell ref="N70:O70"/>
    <mergeCell ref="P70:Q70"/>
    <mergeCell ref="L67:M67"/>
    <mergeCell ref="N67:O67"/>
    <mergeCell ref="C66:I66"/>
    <mergeCell ref="J66:K66"/>
    <mergeCell ref="L66:M66"/>
    <mergeCell ref="N66:O66"/>
    <mergeCell ref="P66:Q66"/>
    <mergeCell ref="J67:K67"/>
    <mergeCell ref="P67:Q67"/>
    <mergeCell ref="J69:K69"/>
    <mergeCell ref="L69:M69"/>
    <mergeCell ref="N69:O69"/>
    <mergeCell ref="P69:Q69"/>
    <mergeCell ref="C67:I67"/>
    <mergeCell ref="J37:K37"/>
    <mergeCell ref="L37:M37"/>
    <mergeCell ref="J35:K35"/>
    <mergeCell ref="P35:Q35"/>
    <mergeCell ref="N37:O37"/>
    <mergeCell ref="P37:Q37"/>
    <mergeCell ref="C35:I35"/>
    <mergeCell ref="C36:I36"/>
    <mergeCell ref="J36:K36"/>
    <mergeCell ref="L36:M36"/>
    <mergeCell ref="N36:O36"/>
    <mergeCell ref="P36:Q36"/>
    <mergeCell ref="C37:I37"/>
    <mergeCell ref="C31:I31"/>
    <mergeCell ref="C32:I32"/>
    <mergeCell ref="J32:K32"/>
    <mergeCell ref="L32:M32"/>
    <mergeCell ref="N32:O32"/>
    <mergeCell ref="P32:Q32"/>
    <mergeCell ref="C33:I33"/>
    <mergeCell ref="L35:M35"/>
    <mergeCell ref="N35:O35"/>
    <mergeCell ref="N22:O22"/>
    <mergeCell ref="C29:I29"/>
    <mergeCell ref="J29:K29"/>
    <mergeCell ref="L29:M29"/>
    <mergeCell ref="N29:O29"/>
    <mergeCell ref="P29:Q29"/>
    <mergeCell ref="C34:I34"/>
    <mergeCell ref="J34:K34"/>
    <mergeCell ref="L34:M34"/>
    <mergeCell ref="N34:O34"/>
    <mergeCell ref="P34:Q34"/>
    <mergeCell ref="L31:M31"/>
    <mergeCell ref="N31:O31"/>
    <mergeCell ref="C30:I30"/>
    <mergeCell ref="J30:K30"/>
    <mergeCell ref="L30:M30"/>
    <mergeCell ref="N30:O30"/>
    <mergeCell ref="P30:Q30"/>
    <mergeCell ref="J31:K31"/>
    <mergeCell ref="P31:Q31"/>
    <mergeCell ref="J33:K33"/>
    <mergeCell ref="L33:M33"/>
    <mergeCell ref="N33:O33"/>
    <mergeCell ref="P33:Q33"/>
    <mergeCell ref="C21:I21"/>
    <mergeCell ref="J21:K21"/>
    <mergeCell ref="L21:M21"/>
    <mergeCell ref="N21:O21"/>
    <mergeCell ref="P21:Q21"/>
    <mergeCell ref="J22:K22"/>
    <mergeCell ref="P22:Q22"/>
    <mergeCell ref="C25:I25"/>
    <mergeCell ref="J25:K25"/>
    <mergeCell ref="L25:M25"/>
    <mergeCell ref="N25:O25"/>
    <mergeCell ref="P25:Q25"/>
    <mergeCell ref="J24:K24"/>
    <mergeCell ref="L24:M24"/>
    <mergeCell ref="N24:O24"/>
    <mergeCell ref="P24:Q24"/>
    <mergeCell ref="C22:I22"/>
    <mergeCell ref="C23:I23"/>
    <mergeCell ref="J23:K23"/>
    <mergeCell ref="L23:M23"/>
    <mergeCell ref="N23:O23"/>
    <mergeCell ref="P23:Q23"/>
    <mergeCell ref="C24:I24"/>
    <mergeCell ref="L22:M22"/>
    <mergeCell ref="J26:K26"/>
    <mergeCell ref="P26:Q26"/>
    <mergeCell ref="N28:O28"/>
    <mergeCell ref="P28:Q28"/>
    <mergeCell ref="C26:I26"/>
    <mergeCell ref="C27:I27"/>
    <mergeCell ref="J27:K27"/>
    <mergeCell ref="L27:M27"/>
    <mergeCell ref="N27:O27"/>
    <mergeCell ref="P27:Q27"/>
    <mergeCell ref="C28:I28"/>
    <mergeCell ref="L26:M26"/>
    <mergeCell ref="N26:O26"/>
    <mergeCell ref="J28:K28"/>
    <mergeCell ref="L28:M28"/>
    <mergeCell ref="J20:K20"/>
    <mergeCell ref="L20:M20"/>
    <mergeCell ref="N20:O20"/>
    <mergeCell ref="P20:Q20"/>
    <mergeCell ref="C18:I18"/>
    <mergeCell ref="C19:I19"/>
    <mergeCell ref="J19:K19"/>
    <mergeCell ref="L19:M19"/>
    <mergeCell ref="N19:O19"/>
    <mergeCell ref="P19:Q19"/>
    <mergeCell ref="C20:I20"/>
    <mergeCell ref="L18:M18"/>
    <mergeCell ref="N18:O18"/>
    <mergeCell ref="C17:I17"/>
    <mergeCell ref="J17:K17"/>
    <mergeCell ref="L17:M17"/>
    <mergeCell ref="N17:O17"/>
    <mergeCell ref="P17:Q17"/>
    <mergeCell ref="J18:K18"/>
    <mergeCell ref="P18:Q18"/>
    <mergeCell ref="J16:K16"/>
    <mergeCell ref="L16:M16"/>
    <mergeCell ref="N16:O16"/>
    <mergeCell ref="P16:Q16"/>
    <mergeCell ref="C14:I14"/>
    <mergeCell ref="C15:I15"/>
    <mergeCell ref="J15:K15"/>
    <mergeCell ref="L15:M15"/>
    <mergeCell ref="N15:O15"/>
    <mergeCell ref="P15:Q15"/>
    <mergeCell ref="C16:I16"/>
    <mergeCell ref="M10:Q10"/>
    <mergeCell ref="J12:K12"/>
    <mergeCell ref="L12:M12"/>
    <mergeCell ref="N12:O12"/>
    <mergeCell ref="P12:Q12"/>
    <mergeCell ref="L14:M14"/>
    <mergeCell ref="N14:O14"/>
    <mergeCell ref="C13:I13"/>
    <mergeCell ref="J13:K13"/>
    <mergeCell ref="L13:M13"/>
    <mergeCell ref="N13:O13"/>
    <mergeCell ref="P13:Q13"/>
    <mergeCell ref="J14:K14"/>
    <mergeCell ref="P14:Q14"/>
    <mergeCell ref="A8:D9"/>
    <mergeCell ref="A10:D10"/>
    <mergeCell ref="E10:F10"/>
    <mergeCell ref="G10:H10"/>
    <mergeCell ref="I10:L10"/>
    <mergeCell ref="A11:Q11"/>
    <mergeCell ref="C12:I12"/>
    <mergeCell ref="A6:D6"/>
    <mergeCell ref="E6:H6"/>
    <mergeCell ref="I6:L6"/>
    <mergeCell ref="M6:Q6"/>
    <mergeCell ref="A7:D7"/>
    <mergeCell ref="M7:Q7"/>
    <mergeCell ref="E7:H7"/>
    <mergeCell ref="I7:L7"/>
    <mergeCell ref="E8:H9"/>
    <mergeCell ref="I8:L8"/>
    <mergeCell ref="M8:Q8"/>
    <mergeCell ref="I9:L9"/>
    <mergeCell ref="M9:Q9"/>
    <mergeCell ref="C1:I1"/>
    <mergeCell ref="J1:K1"/>
    <mergeCell ref="L1:M1"/>
    <mergeCell ref="N1:O1"/>
    <mergeCell ref="P1:Q1"/>
    <mergeCell ref="A2:Q2"/>
    <mergeCell ref="A3:Q3"/>
    <mergeCell ref="A4:Q4"/>
    <mergeCell ref="A5:Q5"/>
  </mergeCells>
  <dataValidations count="3">
    <dataValidation type="decimal" allowBlank="1" showInputMessage="1" showErrorMessage="1" prompt="Enter a number. Do NOT use alphabet" sqref="N13:N112" xr:uid="{00000000-0002-0000-0500-000000000000}">
      <formula1>0</formula1>
      <formula2>5000</formula2>
    </dataValidation>
    <dataValidation type="date" allowBlank="1" showInputMessage="1" showErrorMessage="1" prompt="Use MM/DD/YYYY format" sqref="B14:B112" xr:uid="{00000000-0002-0000-0500-000001000000}">
      <formula1>44197</formula1>
      <formula2>45291</formula2>
    </dataValidation>
    <dataValidation type="date" allowBlank="1" showInputMessage="1" showErrorMessage="1" prompt="Use MM/DD/YYYY format" sqref="B13" xr:uid="{00000000-0002-0000-0500-000003000000}">
      <formula1>43831</formula1>
      <formula2>45291</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Select an option from drop-down list. " xr:uid="{00000000-0002-0000-0500-000002000000}">
          <x14:formula1>
            <xm:f>'Pick List '!$G$15:$G$16</xm:f>
          </x14:formula1>
          <xm:sqref>L13:L112 P13:P112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Q1000"/>
  <sheetViews>
    <sheetView workbookViewId="0"/>
  </sheetViews>
  <sheetFormatPr defaultColWidth="14.42578125" defaultRowHeight="15" customHeight="1" x14ac:dyDescent="0.25"/>
  <cols>
    <col min="1" max="1" width="8.7109375" customWidth="1"/>
    <col min="2" max="13" width="12.140625" customWidth="1"/>
    <col min="14" max="14" width="14" customWidth="1"/>
    <col min="15" max="15" width="13.140625" customWidth="1"/>
    <col min="16" max="17" width="12.140625" customWidth="1"/>
    <col min="18" max="26" width="8.7109375" customWidth="1"/>
  </cols>
  <sheetData>
    <row r="1" spans="1:17" ht="15.75" x14ac:dyDescent="0.25">
      <c r="A1" s="807" t="str">
        <f>'BASE GRANTEE INFO &amp; UPDATES'!A1</f>
        <v>WV Bureau For Behavioral Health - Harm Reduction 2025</v>
      </c>
      <c r="B1" s="705"/>
      <c r="C1" s="705"/>
      <c r="D1" s="705"/>
      <c r="E1" s="705"/>
      <c r="F1" s="705"/>
      <c r="G1" s="705"/>
      <c r="H1" s="705"/>
      <c r="I1" s="705"/>
      <c r="J1" s="705"/>
      <c r="K1" s="705"/>
      <c r="L1" s="705"/>
      <c r="M1" s="705"/>
      <c r="N1" s="705"/>
      <c r="O1" s="705"/>
      <c r="P1" s="705"/>
      <c r="Q1" s="706"/>
    </row>
    <row r="2" spans="1:17" ht="15.75" x14ac:dyDescent="0.25">
      <c r="A2" s="808">
        <f>'BASE GRANTEE INFO &amp; UPDATES'!A2</f>
        <v>0</v>
      </c>
      <c r="B2" s="708"/>
      <c r="C2" s="708"/>
      <c r="D2" s="708"/>
      <c r="E2" s="708"/>
      <c r="F2" s="708"/>
      <c r="G2" s="708"/>
      <c r="H2" s="708"/>
      <c r="I2" s="708"/>
      <c r="J2" s="708"/>
      <c r="K2" s="708"/>
      <c r="L2" s="708"/>
      <c r="M2" s="708"/>
      <c r="N2" s="708"/>
      <c r="O2" s="708"/>
      <c r="P2" s="708"/>
      <c r="Q2" s="778"/>
    </row>
    <row r="3" spans="1:17" ht="15.75" x14ac:dyDescent="0.25">
      <c r="A3" s="809" t="str">
        <f>'BASE GRANTEE INFO &amp; UPDATES'!A3</f>
        <v xml:space="preserve">Program reports need to be submitted electronically, via e-mail to BBHReporting@wv.gov  within 25 calendar days of the end of each month </v>
      </c>
      <c r="B3" s="708"/>
      <c r="C3" s="708"/>
      <c r="D3" s="708"/>
      <c r="E3" s="708"/>
      <c r="F3" s="708"/>
      <c r="G3" s="708"/>
      <c r="H3" s="708"/>
      <c r="I3" s="708"/>
      <c r="J3" s="708"/>
      <c r="K3" s="708"/>
      <c r="L3" s="708"/>
      <c r="M3" s="708"/>
      <c r="N3" s="708"/>
      <c r="O3" s="708"/>
      <c r="P3" s="708"/>
      <c r="Q3" s="778"/>
    </row>
    <row r="4" spans="1:17" ht="18.75" x14ac:dyDescent="0.25">
      <c r="A4" s="810" t="s">
        <v>119</v>
      </c>
      <c r="B4" s="708"/>
      <c r="C4" s="708"/>
      <c r="D4" s="708"/>
      <c r="E4" s="708"/>
      <c r="F4" s="708"/>
      <c r="G4" s="708"/>
      <c r="H4" s="708"/>
      <c r="I4" s="708"/>
      <c r="J4" s="708"/>
      <c r="K4" s="708"/>
      <c r="L4" s="708"/>
      <c r="M4" s="708"/>
      <c r="N4" s="708"/>
      <c r="O4" s="708"/>
      <c r="P4" s="708"/>
      <c r="Q4" s="778"/>
    </row>
    <row r="5" spans="1:17" ht="24.75" customHeight="1" x14ac:dyDescent="0.25">
      <c r="A5" s="815" t="s">
        <v>135</v>
      </c>
      <c r="B5" s="698"/>
      <c r="C5" s="698"/>
      <c r="D5" s="699"/>
      <c r="E5" s="811" t="str">
        <f>'BASE GRANTEE INFO &amp; UPDATES'!E5</f>
        <v>Harm Reduction Program</v>
      </c>
      <c r="F5" s="698"/>
      <c r="G5" s="698"/>
      <c r="H5" s="699"/>
      <c r="I5" s="812" t="s">
        <v>0</v>
      </c>
      <c r="J5" s="698"/>
      <c r="K5" s="698"/>
      <c r="L5" s="699"/>
      <c r="M5" s="813">
        <f>'BASE GRANTEE INFO &amp; UPDATES'!M5</f>
        <v>0</v>
      </c>
      <c r="N5" s="698"/>
      <c r="O5" s="698"/>
      <c r="P5" s="698"/>
      <c r="Q5" s="699"/>
    </row>
    <row r="6" spans="1:17" ht="24.75" customHeight="1" x14ac:dyDescent="0.25">
      <c r="A6" s="815" t="s">
        <v>136</v>
      </c>
      <c r="B6" s="698"/>
      <c r="C6" s="698"/>
      <c r="D6" s="699"/>
      <c r="E6" s="816">
        <f>'BASE GRANTEE INFO &amp; UPDATES'!E6</f>
        <v>0</v>
      </c>
      <c r="F6" s="698"/>
      <c r="G6" s="698"/>
      <c r="H6" s="699"/>
      <c r="I6" s="812" t="s">
        <v>1</v>
      </c>
      <c r="J6" s="698"/>
      <c r="K6" s="698"/>
      <c r="L6" s="699"/>
      <c r="M6" s="813">
        <f>'BASE GRANTEE INFO &amp; UPDATES'!M6</f>
        <v>0</v>
      </c>
      <c r="N6" s="698"/>
      <c r="O6" s="698"/>
      <c r="P6" s="698"/>
      <c r="Q6" s="699"/>
    </row>
    <row r="7" spans="1:17" ht="24.75" customHeight="1" x14ac:dyDescent="0.25">
      <c r="A7" s="817" t="s">
        <v>2</v>
      </c>
      <c r="B7" s="766"/>
      <c r="C7" s="766"/>
      <c r="D7" s="767"/>
      <c r="E7" s="818">
        <f>'BASE GRANTEE INFO &amp; UPDATES'!E7</f>
        <v>0</v>
      </c>
      <c r="F7" s="766"/>
      <c r="G7" s="766"/>
      <c r="H7" s="767"/>
      <c r="I7" s="812" t="s">
        <v>3</v>
      </c>
      <c r="J7" s="698"/>
      <c r="K7" s="698"/>
      <c r="L7" s="699"/>
      <c r="M7" s="813">
        <f>'BASE GRANTEE INFO &amp; UPDATES'!M7</f>
        <v>0</v>
      </c>
      <c r="N7" s="698"/>
      <c r="O7" s="698"/>
      <c r="P7" s="698"/>
      <c r="Q7" s="699"/>
    </row>
    <row r="8" spans="1:17" ht="24.75" customHeight="1" x14ac:dyDescent="0.25">
      <c r="A8" s="768"/>
      <c r="B8" s="769"/>
      <c r="C8" s="769"/>
      <c r="D8" s="770"/>
      <c r="E8" s="768"/>
      <c r="F8" s="769"/>
      <c r="G8" s="769"/>
      <c r="H8" s="770"/>
      <c r="I8" s="814" t="s">
        <v>137</v>
      </c>
      <c r="J8" s="698"/>
      <c r="K8" s="698"/>
      <c r="L8" s="699"/>
      <c r="M8" s="813">
        <f>'BASE GRANTEE INFO &amp; UPDATES'!M8</f>
        <v>0</v>
      </c>
      <c r="N8" s="698"/>
      <c r="O8" s="698"/>
      <c r="P8" s="698"/>
      <c r="Q8" s="699"/>
    </row>
    <row r="9" spans="1:17" ht="24.75" customHeight="1" x14ac:dyDescent="0.25">
      <c r="A9" s="815" t="s">
        <v>138</v>
      </c>
      <c r="B9" s="698"/>
      <c r="C9" s="698"/>
      <c r="D9" s="699"/>
      <c r="E9" s="791" t="str">
        <f>'BASE GRANTEE INFO &amp; UPDATES'!E9</f>
        <v>September 1 - 30</v>
      </c>
      <c r="F9" s="699"/>
      <c r="G9" s="791">
        <f>'BASE GRANTEE INFO &amp; UPDATES'!G9</f>
        <v>2024</v>
      </c>
      <c r="H9" s="699"/>
      <c r="I9" s="814" t="s">
        <v>139</v>
      </c>
      <c r="J9" s="698"/>
      <c r="K9" s="698"/>
      <c r="L9" s="699"/>
      <c r="M9" s="813">
        <f>'BASE GRANTEE INFO &amp; UPDATES'!M9</f>
        <v>0</v>
      </c>
      <c r="N9" s="698"/>
      <c r="O9" s="698"/>
      <c r="P9" s="698"/>
      <c r="Q9" s="699"/>
    </row>
    <row r="10" spans="1:17" ht="18.75" x14ac:dyDescent="0.25">
      <c r="A10" s="810" t="s">
        <v>125</v>
      </c>
      <c r="B10" s="708"/>
      <c r="C10" s="708"/>
      <c r="D10" s="708"/>
      <c r="E10" s="708"/>
      <c r="F10" s="708"/>
      <c r="G10" s="708"/>
      <c r="H10" s="708"/>
      <c r="I10" s="708"/>
      <c r="J10" s="708"/>
      <c r="K10" s="708"/>
      <c r="L10" s="708"/>
      <c r="M10" s="708"/>
      <c r="N10" s="708"/>
      <c r="O10" s="708"/>
      <c r="P10" s="708"/>
      <c r="Q10" s="778"/>
    </row>
    <row r="11" spans="1:17" ht="15" customHeight="1" x14ac:dyDescent="0.25">
      <c r="A11" s="51"/>
      <c r="B11" s="51"/>
      <c r="C11" s="51"/>
      <c r="D11" s="51"/>
      <c r="E11" s="819" t="s">
        <v>140</v>
      </c>
      <c r="F11" s="711"/>
      <c r="G11" s="711"/>
      <c r="H11" s="711"/>
      <c r="I11" s="711"/>
      <c r="J11" s="711"/>
      <c r="K11" s="711"/>
      <c r="L11" s="711"/>
      <c r="M11" s="711"/>
      <c r="N11" s="711"/>
      <c r="O11" s="711"/>
      <c r="P11" s="711"/>
      <c r="Q11" s="757"/>
    </row>
    <row r="12" spans="1:17" ht="39.75" customHeight="1" x14ac:dyDescent="0.25">
      <c r="A12" s="821" t="s">
        <v>141</v>
      </c>
      <c r="B12" s="698"/>
      <c r="C12" s="698"/>
      <c r="D12" s="699"/>
      <c r="E12" s="52" t="s">
        <v>142</v>
      </c>
      <c r="F12" s="53" t="s">
        <v>143</v>
      </c>
      <c r="G12" s="52" t="s">
        <v>144</v>
      </c>
      <c r="H12" s="53" t="s">
        <v>145</v>
      </c>
      <c r="I12" s="52" t="s">
        <v>146</v>
      </c>
      <c r="J12" s="53" t="s">
        <v>147</v>
      </c>
      <c r="K12" s="52" t="s">
        <v>148</v>
      </c>
      <c r="L12" s="53" t="s">
        <v>149</v>
      </c>
      <c r="M12" s="52" t="s">
        <v>150</v>
      </c>
      <c r="N12" s="53" t="s">
        <v>151</v>
      </c>
      <c r="O12" s="52" t="s">
        <v>152</v>
      </c>
      <c r="P12" s="53" t="s">
        <v>153</v>
      </c>
      <c r="Q12" s="54" t="s">
        <v>154</v>
      </c>
    </row>
    <row r="13" spans="1:17" ht="39.75" customHeight="1" x14ac:dyDescent="0.25">
      <c r="A13" s="822" t="s">
        <v>155</v>
      </c>
      <c r="B13" s="698"/>
      <c r="C13" s="698"/>
      <c r="D13" s="699"/>
      <c r="E13" s="55">
        <f>COUNTIFS('2GENERAL PROGRAM INFORMATION'!B13:B5000,"&gt;=09/01/2021",'2GENERAL PROGRAM INFORMATION'!B13:B5000,"&lt;=09/30/2021")</f>
        <v>1</v>
      </c>
      <c r="F13" s="56">
        <f>COUNTIFS('2GENERAL PROGRAM INFORMATION'!B13:B5000,"&gt;=10/01/2021",'2GENERAL PROGRAM INFORMATION'!B13:B5000,"&lt;=10/31/2021")</f>
        <v>1</v>
      </c>
      <c r="G13" s="55">
        <f>COUNTIFS('2GENERAL PROGRAM INFORMATION'!B13:B5000,"&gt;=11/01/2021",'2GENERAL PROGRAM INFORMATION'!B13:B5000,"&lt;=11/30/2021")</f>
        <v>1</v>
      </c>
      <c r="H13" s="56">
        <f>COUNTIFS('2GENERAL PROGRAM INFORMATION'!B13:B5000,"&gt;=12/01/2021",'2GENERAL PROGRAM INFORMATION'!B13:B5000,"&lt;=12/31/2021")</f>
        <v>1</v>
      </c>
      <c r="I13" s="55">
        <f>COUNTIFS('2GENERAL PROGRAM INFORMATION'!B13:B5000,"&gt;=01/01/2022",'2GENERAL PROGRAM INFORMATION'!B13:B5000,"&lt;=01/31/2022")</f>
        <v>1</v>
      </c>
      <c r="J13" s="56">
        <f>COUNTIFS('2GENERAL PROGRAM INFORMATION'!B13:B5000,"&gt;=02/01/2022",'2GENERAL PROGRAM INFORMATION'!B13:B5000,"&lt;=02/28/2022")</f>
        <v>1</v>
      </c>
      <c r="K13" s="55">
        <f>COUNTIFS('2GENERAL PROGRAM INFORMATION'!B13:B5000,"&gt;=03/01/2022",'2GENERAL PROGRAM INFORMATION'!B13:B5000,"&lt;=03/31/2022")</f>
        <v>1</v>
      </c>
      <c r="L13" s="56">
        <f>COUNTIFS('2GENERAL PROGRAM INFORMATION'!B13:B5000,"&gt;=04/01/2022",'2GENERAL PROGRAM INFORMATION'!B13:B5000,"&lt;=04/30/2022")</f>
        <v>1</v>
      </c>
      <c r="M13" s="55">
        <f>COUNTIFS('2GENERAL PROGRAM INFORMATION'!B13:B5000,"&gt;=05/01/2022",'2GENERAL PROGRAM INFORMATION'!B13:B5000,"&lt;=05/31/2022")</f>
        <v>1</v>
      </c>
      <c r="N13" s="56">
        <f>COUNTIFS('2GENERAL PROGRAM INFORMATION'!B13:B5000,"&gt;=06/01/2022",'2GENERAL PROGRAM INFORMATION'!B13:B5000,"&lt;=06/30/2022")</f>
        <v>1</v>
      </c>
      <c r="O13" s="55">
        <f>COUNTIFS('2GENERAL PROGRAM INFORMATION'!B13:B5000,"&gt;=07/01/2022",'2GENERAL PROGRAM INFORMATION'!B13:B5000,"&lt;=07/31/2022")</f>
        <v>1</v>
      </c>
      <c r="P13" s="56">
        <f>COUNTIFS('2GENERAL PROGRAM INFORMATION'!B13:B5000,"&gt;=08/01/2022",'2GENERAL PROGRAM INFORMATION'!B13:B5000,"&lt;=08/31/2022")</f>
        <v>1</v>
      </c>
      <c r="Q13" s="57">
        <f t="shared" ref="Q13:Q16" si="0">SUM(E13:P13)</f>
        <v>12</v>
      </c>
    </row>
    <row r="14" spans="1:17" ht="39.75" customHeight="1" x14ac:dyDescent="0.25">
      <c r="A14" s="822" t="s">
        <v>156</v>
      </c>
      <c r="B14" s="698"/>
      <c r="C14" s="698"/>
      <c r="D14" s="699"/>
      <c r="E14" s="55">
        <f>COUNTIFS('2GENERAL PROGRAM INFORMATION'!B13:B5000,"&gt;=09/01/2021",'2GENERAL PROGRAM INFORMATION'!B13:B5000,"&lt;=09/30/2021",'2GENERAL PROGRAM INFORMATION'!L13:L5000,"YES")</f>
        <v>1</v>
      </c>
      <c r="F14" s="56">
        <f>COUNTIFS('2GENERAL PROGRAM INFORMATION'!B13:B5000,"&gt;=10/01/2021",'2GENERAL PROGRAM INFORMATION'!B13:B5000,"&lt;=10/31/2021",'2GENERAL PROGRAM INFORMATION'!L13:L5000,"YES")</f>
        <v>1</v>
      </c>
      <c r="G14" s="55">
        <f>COUNTIFS('2GENERAL PROGRAM INFORMATION'!B13:B5000,"&gt;=11/01/2021",'2GENERAL PROGRAM INFORMATION'!B13:B5000,"&lt;=11/30/2021",'2GENERAL PROGRAM INFORMATION'!L13:L5000,"YES")</f>
        <v>1</v>
      </c>
      <c r="H14" s="56">
        <f>COUNTIFS('2GENERAL PROGRAM INFORMATION'!B13:B5000,"&gt;=12/01/2021",'2GENERAL PROGRAM INFORMATION'!B13:B5000,"&lt;=12/31/2021",'2GENERAL PROGRAM INFORMATION'!L13:L5000,"YES")</f>
        <v>1</v>
      </c>
      <c r="I14" s="55">
        <f>COUNTIFS('2GENERAL PROGRAM INFORMATION'!B13:B5000,"&gt;=01/01/2022",'2GENERAL PROGRAM INFORMATION'!B13:B5000,"&lt;=01/31/2022",'2GENERAL PROGRAM INFORMATION'!L13:L5000,"YES")</f>
        <v>1</v>
      </c>
      <c r="J14" s="56">
        <f>COUNTIFS('2GENERAL PROGRAM INFORMATION'!B13:B5000,"&gt;=02/01/2022",'2GENERAL PROGRAM INFORMATION'!B13:B5000,"&lt;=02/28/2022",'2GENERAL PROGRAM INFORMATION'!L13:L5000,"YES")</f>
        <v>1</v>
      </c>
      <c r="K14" s="55">
        <f>COUNTIFS('2GENERAL PROGRAM INFORMATION'!B13:B5000,"&gt;=03/01/2022",'2GENERAL PROGRAM INFORMATION'!B13:B5000,"&lt;=03/31/2022",'2GENERAL PROGRAM INFORMATION'!L13:L5000,"YES")</f>
        <v>1</v>
      </c>
      <c r="L14" s="56">
        <f>COUNTIFS('2GENERAL PROGRAM INFORMATION'!B13:B5000,"&gt;=04/01/2022",'2GENERAL PROGRAM INFORMATION'!B13:B5000,"&lt;=04/30/2022",'2GENERAL PROGRAM INFORMATION'!L13:L5000,"YES")</f>
        <v>1</v>
      </c>
      <c r="M14" s="55">
        <f>COUNTIFS('2GENERAL PROGRAM INFORMATION'!B13:B5000,"&gt;=05/01/2022",'2GENERAL PROGRAM INFORMATION'!B13:B5000,"&lt;=05/31/2022",'2GENERAL PROGRAM INFORMATION'!L13:L5000,"YES")</f>
        <v>1</v>
      </c>
      <c r="N14" s="56">
        <f>COUNTIFS('2GENERAL PROGRAM INFORMATION'!B13:B5000,"&gt;=06/01/2022",'2GENERAL PROGRAM INFORMATION'!B13:B5000,"&lt;=06/30/2022",'2GENERAL PROGRAM INFORMATION'!L13:L5000,"YES")</f>
        <v>1</v>
      </c>
      <c r="O14" s="55">
        <f>COUNTIFS('2GENERAL PROGRAM INFORMATION'!B13:B5000,"&gt;=07/01/2022",'2GENERAL PROGRAM INFORMATION'!B13:B5000,"&lt;=07/31/2022",'2GENERAL PROGRAM INFORMATION'!L13:L5000,"YES")</f>
        <v>1</v>
      </c>
      <c r="P14" s="56">
        <f>COUNTIFS('2GENERAL PROGRAM INFORMATION'!B13:B5000,"&gt;=08/01/2022",'2GENERAL PROGRAM INFORMATION'!B13:B5000,"&lt;=08/31/2022",'2GENERAL PROGRAM INFORMATION'!L13:L5000,"YES")</f>
        <v>1</v>
      </c>
      <c r="Q14" s="57">
        <f t="shared" si="0"/>
        <v>12</v>
      </c>
    </row>
    <row r="15" spans="1:17" ht="39.75" customHeight="1" x14ac:dyDescent="0.25">
      <c r="A15" s="822" t="s">
        <v>157</v>
      </c>
      <c r="B15" s="698"/>
      <c r="C15" s="698"/>
      <c r="D15" s="699"/>
      <c r="E15" s="55">
        <f>SUMIFS('2GENERAL PROGRAM INFORMATION'!N13:N5000,'2GENERAL PROGRAM INFORMATION'!B13:B5000,"&gt;=09/01/2021",'2GENERAL PROGRAM INFORMATION'!B13:B5000,"&lt;=09/30/2021")</f>
        <v>2</v>
      </c>
      <c r="F15" s="56">
        <f>SUMIFS('2GENERAL PROGRAM INFORMATION'!N13:N5000,'2GENERAL PROGRAM INFORMATION'!B13:B5000,"&gt;=10/01/2021",'2GENERAL PROGRAM INFORMATION'!B13:B5000,"&lt;=10/31/2021")</f>
        <v>3</v>
      </c>
      <c r="G15" s="55">
        <f>SUMIFS('2GENERAL PROGRAM INFORMATION'!N13:N5000,'2GENERAL PROGRAM INFORMATION'!B13:B5000,"&gt;=11/01/2021",'2GENERAL PROGRAM INFORMATION'!B13:B5000,"&lt;=11/30/2021")</f>
        <v>4</v>
      </c>
      <c r="H15" s="56">
        <f>SUMIFS('2GENERAL PROGRAM INFORMATION'!N13:N5000,'2GENERAL PROGRAM INFORMATION'!B13:B5000,"&gt;=12/01/2021",'2GENERAL PROGRAM INFORMATION'!B13:B5000,"&lt;=12/31/2021")</f>
        <v>5</v>
      </c>
      <c r="I15" s="55">
        <f>SUMIFS('2GENERAL PROGRAM INFORMATION'!N13:N5000,'2GENERAL PROGRAM INFORMATION'!B13:B5000,"&gt;=01/01/2022",'2GENERAL PROGRAM INFORMATION'!B13:B5000,"&lt;=01/31/2022")</f>
        <v>6</v>
      </c>
      <c r="J15" s="56">
        <f>SUMIFS('2GENERAL PROGRAM INFORMATION'!N13:N5000,'2GENERAL PROGRAM INFORMATION'!B13:B5000,"&gt;=02/01/2022",'2GENERAL PROGRAM INFORMATION'!B13:B5000,"&lt;=02/28/2022")</f>
        <v>7</v>
      </c>
      <c r="K15" s="55">
        <f>SUMIFS('2GENERAL PROGRAM INFORMATION'!N13:N5000,'2GENERAL PROGRAM INFORMATION'!B13:B5000,"&gt;=03/01/2022",'2GENERAL PROGRAM INFORMATION'!B13:B5000,"&lt;=03/31/2022")</f>
        <v>8</v>
      </c>
      <c r="L15" s="56">
        <f>SUMIFS('2GENERAL PROGRAM INFORMATION'!N13:N5000,'2GENERAL PROGRAM INFORMATION'!B13:B5000,"&gt;=04/01/2022",'2GENERAL PROGRAM INFORMATION'!B13:B5000,"&lt;=04/30/2022")</f>
        <v>9</v>
      </c>
      <c r="M15" s="55">
        <f>SUMIFS('2GENERAL PROGRAM INFORMATION'!N13:N5000,'2GENERAL PROGRAM INFORMATION'!B13:B5000,"&gt;=05/01/2022",'2GENERAL PROGRAM INFORMATION'!B13:B5000,"&lt;=05/31/2022")</f>
        <v>10</v>
      </c>
      <c r="N15" s="56">
        <f>SUMIFS('2GENERAL PROGRAM INFORMATION'!N13:N5000,'2GENERAL PROGRAM INFORMATION'!B13:B5000,"&gt;=06/01/2022",'2GENERAL PROGRAM INFORMATION'!B13:B5000,"&lt;=06/30/2022")</f>
        <v>11</v>
      </c>
      <c r="O15" s="55">
        <f>SUMIFS('2GENERAL PROGRAM INFORMATION'!N13:N5000,'2GENERAL PROGRAM INFORMATION'!B13:B5000,"&gt;=07/01/2022",'2GENERAL PROGRAM INFORMATION'!B13:B5000,"&lt;=07/31/2022")</f>
        <v>12</v>
      </c>
      <c r="P15" s="56">
        <f>SUMIFS('2GENERAL PROGRAM INFORMATION'!N13:N5000,'2GENERAL PROGRAM INFORMATION'!B13:B5000,"&gt;=08/01/2022",'2GENERAL PROGRAM INFORMATION'!B13:B5000,"&lt;=08/31/2022")</f>
        <v>13</v>
      </c>
      <c r="Q15" s="57">
        <f t="shared" si="0"/>
        <v>90</v>
      </c>
    </row>
    <row r="16" spans="1:17" ht="39.75" customHeight="1" x14ac:dyDescent="0.25">
      <c r="A16" s="822" t="s">
        <v>158</v>
      </c>
      <c r="B16" s="698"/>
      <c r="C16" s="698"/>
      <c r="D16" s="699"/>
      <c r="E16" s="55">
        <f>COUNTIFS('2GENERAL PROGRAM INFORMATION'!B13:B5000,"&gt;=09/01/2021",'2GENERAL PROGRAM INFORMATION'!B13:B5000,"&lt;=09/30/2021",'2GENERAL PROGRAM INFORMATION'!P13:P5000,"YES")</f>
        <v>1</v>
      </c>
      <c r="F16" s="56">
        <f>COUNTIFS('2GENERAL PROGRAM INFORMATION'!B13:B5000,"&gt;=10/01/2021",'2GENERAL PROGRAM INFORMATION'!B13:B5000,"&lt;=10/31/2021",'2GENERAL PROGRAM INFORMATION'!P13:P5000,"YES")</f>
        <v>1</v>
      </c>
      <c r="G16" s="55">
        <f>COUNTIFS('2GENERAL PROGRAM INFORMATION'!B13:B5000,"&gt;=11/01/2021",'2GENERAL PROGRAM INFORMATION'!B13:B5000,"&lt;=11/30/2021",'2GENERAL PROGRAM INFORMATION'!P13:P5000,"YES")</f>
        <v>1</v>
      </c>
      <c r="H16" s="56">
        <f>COUNTIFS('2GENERAL PROGRAM INFORMATION'!B13:B5000,"&gt;=12/01/2021",'2GENERAL PROGRAM INFORMATION'!B13:B5000,"&lt;=12/31/2021",'2GENERAL PROGRAM INFORMATION'!P13:P5000,"YES")</f>
        <v>1</v>
      </c>
      <c r="I16" s="55">
        <f>COUNTIFS('2GENERAL PROGRAM INFORMATION'!B13:B5000,"&gt;=01/01/2022",'2GENERAL PROGRAM INFORMATION'!B13:B5000,"&lt;=01/31/2022",'2GENERAL PROGRAM INFORMATION'!P13:P5000,"YES")</f>
        <v>1</v>
      </c>
      <c r="J16" s="56">
        <f>COUNTIFS('2GENERAL PROGRAM INFORMATION'!B13:B5000,"&gt;=02/01/2022",'2GENERAL PROGRAM INFORMATION'!B13:B5000,"&lt;=02/28/2022",'2GENERAL PROGRAM INFORMATION'!P13:P5000,"YES")</f>
        <v>1</v>
      </c>
      <c r="K16" s="55">
        <f>COUNTIFS('2GENERAL PROGRAM INFORMATION'!B13:B5000,"&gt;=03/01/2022",'2GENERAL PROGRAM INFORMATION'!B13:B5000,"&lt;=03/31/2022",'2GENERAL PROGRAM INFORMATION'!P13:P5000,"YES")</f>
        <v>1</v>
      </c>
      <c r="L16" s="56">
        <f>COUNTIFS('2GENERAL PROGRAM INFORMATION'!B13:B5000,"&gt;=04/01/2022",'2GENERAL PROGRAM INFORMATION'!B13:B5000,"&lt;=04/30/2022",'2GENERAL PROGRAM INFORMATION'!P13:P5000,"YES")</f>
        <v>1</v>
      </c>
      <c r="M16" s="55">
        <f>COUNTIFS('2GENERAL PROGRAM INFORMATION'!B13:B5000,"&gt;=05/01/2022",'2GENERAL PROGRAM INFORMATION'!B13:B5000,"&lt;=05/31/2022",'2GENERAL PROGRAM INFORMATION'!P13:P5000,"YES")</f>
        <v>1</v>
      </c>
      <c r="N16" s="56">
        <f>COUNTIFS('2GENERAL PROGRAM INFORMATION'!B13:B5000,"&gt;=06/01/2022",'2GENERAL PROGRAM INFORMATION'!B13:B5000,"&lt;=06/30/2022",'2GENERAL PROGRAM INFORMATION'!P13:P5000,"YES")</f>
        <v>1</v>
      </c>
      <c r="O16" s="55">
        <f>COUNTIFS('2GENERAL PROGRAM INFORMATION'!B13:B5000,"&gt;=07/01/2022",'2GENERAL PROGRAM INFORMATION'!B13:B5000,"&lt;=07/31/2022",'2GENERAL PROGRAM INFORMATION'!P13:P5000,"YES")</f>
        <v>1</v>
      </c>
      <c r="P16" s="56">
        <f>COUNTIFS('2GENERAL PROGRAM INFORMATION'!B13:B5000,"&gt;=08/01/2022",'2GENERAL PROGRAM INFORMATION'!B13:B5000,"&lt;=08/31/2022",'2GENERAL PROGRAM INFORMATION'!P13:P5000,"YES")</f>
        <v>1</v>
      </c>
      <c r="Q16" s="57">
        <f t="shared" si="0"/>
        <v>12</v>
      </c>
    </row>
    <row r="17" spans="1:17" ht="15" customHeight="1" x14ac:dyDescent="0.25">
      <c r="A17" s="51"/>
      <c r="B17" s="51"/>
      <c r="C17" s="51"/>
      <c r="D17" s="51"/>
      <c r="E17" s="819" t="s">
        <v>159</v>
      </c>
      <c r="F17" s="711"/>
      <c r="G17" s="711"/>
      <c r="H17" s="711"/>
      <c r="I17" s="711"/>
      <c r="J17" s="711"/>
      <c r="K17" s="711"/>
      <c r="L17" s="711"/>
      <c r="M17" s="711"/>
      <c r="N17" s="711"/>
      <c r="O17" s="711"/>
      <c r="P17" s="711"/>
      <c r="Q17" s="757"/>
    </row>
    <row r="18" spans="1:17" ht="39.75" customHeight="1" x14ac:dyDescent="0.25">
      <c r="A18" s="823" t="s">
        <v>141</v>
      </c>
      <c r="B18" s="698"/>
      <c r="C18" s="698"/>
      <c r="D18" s="699"/>
      <c r="E18" s="58" t="s">
        <v>160</v>
      </c>
      <c r="F18" s="59" t="s">
        <v>161</v>
      </c>
      <c r="G18" s="58" t="s">
        <v>162</v>
      </c>
      <c r="H18" s="59" t="s">
        <v>163</v>
      </c>
      <c r="I18" s="58" t="s">
        <v>164</v>
      </c>
      <c r="J18" s="59" t="s">
        <v>165</v>
      </c>
      <c r="K18" s="58" t="s">
        <v>166</v>
      </c>
      <c r="L18" s="59" t="s">
        <v>167</v>
      </c>
      <c r="M18" s="58" t="s">
        <v>168</v>
      </c>
      <c r="N18" s="59" t="s">
        <v>169</v>
      </c>
      <c r="O18" s="58" t="s">
        <v>170</v>
      </c>
      <c r="P18" s="59" t="s">
        <v>171</v>
      </c>
      <c r="Q18" s="60" t="s">
        <v>154</v>
      </c>
    </row>
    <row r="19" spans="1:17" ht="39.75" customHeight="1" x14ac:dyDescent="0.25">
      <c r="A19" s="820" t="s">
        <v>155</v>
      </c>
      <c r="B19" s="698"/>
      <c r="C19" s="698"/>
      <c r="D19" s="699"/>
      <c r="E19" s="55">
        <f>COUNTIFS('2GENERAL PROGRAM INFORMATION'!B13:B5000,"&gt;=09/01/2022",'2GENERAL PROGRAM INFORMATION'!B13:B5000,"&lt;=09/30/2022")</f>
        <v>1</v>
      </c>
      <c r="F19" s="61">
        <f>COUNTIFS('2GENERAL PROGRAM INFORMATION'!B13:B5000,"&gt;=10/01/2022",'2GENERAL PROGRAM INFORMATION'!B13:B5000,"&lt;=10/31/2022")</f>
        <v>1</v>
      </c>
      <c r="G19" s="55">
        <f>COUNTIFS('2GENERAL PROGRAM INFORMATION'!B13:B5000,"&gt;=11/01/2022",'2GENERAL PROGRAM INFORMATION'!B13:B5000,"&lt;=11/30/2022")</f>
        <v>1</v>
      </c>
      <c r="H19" s="61">
        <f>COUNTIFS('2GENERAL PROGRAM INFORMATION'!B13:B5000,"&gt;=12/01/2022",'2GENERAL PROGRAM INFORMATION'!B13:B5000,"&lt;=12/31/2022")</f>
        <v>1</v>
      </c>
      <c r="I19" s="55">
        <f>COUNTIFS('2GENERAL PROGRAM INFORMATION'!B13:B5000,"&gt;=01/01/2023",'2GENERAL PROGRAM INFORMATION'!B13:B5000,"&lt;=01/31/2023")</f>
        <v>1</v>
      </c>
      <c r="J19" s="61">
        <f>COUNTIFS('2GENERAL PROGRAM INFORMATION'!B13:B5000,"&gt;=02/01/2023",'2GENERAL PROGRAM INFORMATION'!B13:B5000,"&lt;=02/28/2023")</f>
        <v>1</v>
      </c>
      <c r="K19" s="55">
        <f>COUNTIFS('2GENERAL PROGRAM INFORMATION'!B13:B5000,"&gt;=03/01/2023",'2GENERAL PROGRAM INFORMATION'!B13:B5000,"&lt;=03/31/2023")</f>
        <v>1</v>
      </c>
      <c r="L19" s="61">
        <f>COUNTIFS('2GENERAL PROGRAM INFORMATION'!B13:B5000,"&gt;=04/01/2023",'2GENERAL PROGRAM INFORMATION'!B13:B5000,"&lt;=04/30/2023")</f>
        <v>1</v>
      </c>
      <c r="M19" s="55">
        <f>COUNTIFS('2GENERAL PROGRAM INFORMATION'!B13:B5000,"&gt;=05/01/2023",'2GENERAL PROGRAM INFORMATION'!B13:B5000,"&lt;=05/31/2023")</f>
        <v>1</v>
      </c>
      <c r="N19" s="61">
        <f>COUNTIFS('2GENERAL PROGRAM INFORMATION'!B13:B5000,"&gt;=06/01/2023",'2GENERAL PROGRAM INFORMATION'!B13:B5000,"&lt;=06/30/2023")</f>
        <v>1</v>
      </c>
      <c r="O19" s="55">
        <f>COUNTIFS('2GENERAL PROGRAM INFORMATION'!B13:B5000,"&gt;=07/01/2023",'2GENERAL PROGRAM INFORMATION'!B13:B5000,"&lt;=07/31/2023")</f>
        <v>1</v>
      </c>
      <c r="P19" s="61">
        <f>COUNTIFS('2GENERAL PROGRAM INFORMATION'!B13:B5000,"&gt;=08/01/2023",'2GENERAL PROGRAM INFORMATION'!B13:B5000,"&lt;=08/31/2023")</f>
        <v>1</v>
      </c>
      <c r="Q19" s="62">
        <f t="shared" ref="Q19:Q22" si="1">SUM(E19:P19)</f>
        <v>12</v>
      </c>
    </row>
    <row r="20" spans="1:17" ht="39.75" customHeight="1" x14ac:dyDescent="0.25">
      <c r="A20" s="820" t="s">
        <v>172</v>
      </c>
      <c r="B20" s="698"/>
      <c r="C20" s="698"/>
      <c r="D20" s="699"/>
      <c r="E20" s="55">
        <f>COUNTIFS('2GENERAL PROGRAM INFORMATION'!B13:B5000,"&gt;=09/01/2022",'2GENERAL PROGRAM INFORMATION'!B13:B5000,"&lt;=09/30/2022",'2GENERAL PROGRAM INFORMATION'!L13:L5000,"YES")</f>
        <v>1</v>
      </c>
      <c r="F20" s="61">
        <f>COUNTIFS('2GENERAL PROGRAM INFORMATION'!B13:B5000,"&gt;=10/01/2022",'2GENERAL PROGRAM INFORMATION'!B13:B5000,"&lt;=10/31/2022",'2GENERAL PROGRAM INFORMATION'!L13:L5000,"YES")</f>
        <v>1</v>
      </c>
      <c r="G20" s="55">
        <f>COUNTIFS('2GENERAL PROGRAM INFORMATION'!B13:B5000,"&gt;=11/01/2022",'2GENERAL PROGRAM INFORMATION'!B13:B5000,"&lt;=11/30/2022",'2GENERAL PROGRAM INFORMATION'!L13:L5000,"YES")</f>
        <v>1</v>
      </c>
      <c r="H20" s="61">
        <f>COUNTIFS('2GENERAL PROGRAM INFORMATION'!B13:B5000,"&gt;=12/01/2022",'2GENERAL PROGRAM INFORMATION'!B13:B5000,"&lt;=12/31/2022",'2GENERAL PROGRAM INFORMATION'!L13:L5000,"YES")</f>
        <v>1</v>
      </c>
      <c r="I20" s="55">
        <f>COUNTIFS('2GENERAL PROGRAM INFORMATION'!B13:B5000,"&gt;=01/01/2023",'2GENERAL PROGRAM INFORMATION'!B13:B5000,"&lt;=01/31/2023",'2GENERAL PROGRAM INFORMATION'!L13:L5000,"YES")</f>
        <v>1</v>
      </c>
      <c r="J20" s="61">
        <f>COUNTIFS('2GENERAL PROGRAM INFORMATION'!B13:B5000,"&gt;=02/01/2023",'2GENERAL PROGRAM INFORMATION'!B13:B5000,"&lt;=02/28/2023",'2GENERAL PROGRAM INFORMATION'!L13:L5000,"YES")</f>
        <v>1</v>
      </c>
      <c r="K20" s="55">
        <f>COUNTIFS('2GENERAL PROGRAM INFORMATION'!B13:B5000,"&gt;=03/01/2023",'2GENERAL PROGRAM INFORMATION'!B13:B5000,"&lt;=03/31/2023",'2GENERAL PROGRAM INFORMATION'!L13:L5000,"YES")</f>
        <v>1</v>
      </c>
      <c r="L20" s="61">
        <f>COUNTIFS('2GENERAL PROGRAM INFORMATION'!B13:B5000,"&gt;=04/01/2023",'2GENERAL PROGRAM INFORMATION'!B13:B5000,"&lt;=04/30/2023",'2GENERAL PROGRAM INFORMATION'!L13:L5000,"YES")</f>
        <v>1</v>
      </c>
      <c r="M20" s="55">
        <f>COUNTIFS('2GENERAL PROGRAM INFORMATION'!B13:B5000,"&gt;=05/01/2023",'2GENERAL PROGRAM INFORMATION'!B13:B5000,"&lt;=05/31/2023",'2GENERAL PROGRAM INFORMATION'!L13:L5000,"YES")</f>
        <v>1</v>
      </c>
      <c r="N20" s="61">
        <f>COUNTIFS('2GENERAL PROGRAM INFORMATION'!B13:B5000,"&gt;=06/01/2023",'2GENERAL PROGRAM INFORMATION'!B13:B5000,"&lt;=06/30/2023",'2GENERAL PROGRAM INFORMATION'!L13:L5000,"YES")</f>
        <v>1</v>
      </c>
      <c r="O20" s="55">
        <f>COUNTIFS('2GENERAL PROGRAM INFORMATION'!B13:B5000,"&gt;=07/01/2023",'2GENERAL PROGRAM INFORMATION'!B13:B5000,"&lt;=07/31/2023",'2GENERAL PROGRAM INFORMATION'!L13:L5000,"YES")</f>
        <v>1</v>
      </c>
      <c r="P20" s="61">
        <f>COUNTIFS('2GENERAL PROGRAM INFORMATION'!B13:B5000,"&gt;=08/01/2023",'2GENERAL PROGRAM INFORMATION'!B13:B5000,"&lt;=08/31/2023",'2GENERAL PROGRAM INFORMATION'!L13:L5000,"YES")</f>
        <v>1</v>
      </c>
      <c r="Q20" s="62">
        <f t="shared" si="1"/>
        <v>12</v>
      </c>
    </row>
    <row r="21" spans="1:17" ht="39.75" customHeight="1" x14ac:dyDescent="0.25">
      <c r="A21" s="820" t="s">
        <v>157</v>
      </c>
      <c r="B21" s="698"/>
      <c r="C21" s="698"/>
      <c r="D21" s="699"/>
      <c r="E21" s="55">
        <f>SUMIFS('2GENERAL PROGRAM INFORMATION'!N13:N5000,'2GENERAL PROGRAM INFORMATION'!B13:B5000,"&gt;=09/01/2022",'2GENERAL PROGRAM INFORMATION'!B13:B5000,"&lt;=09/30/2022")</f>
        <v>14</v>
      </c>
      <c r="F21" s="61">
        <f>SUMIFS('2GENERAL PROGRAM INFORMATION'!N13:N5000,'2GENERAL PROGRAM INFORMATION'!B13:B5000,"&gt;=10/01/2022",'2GENERAL PROGRAM INFORMATION'!B13:B5000,"&lt;=10/31/2022")</f>
        <v>15</v>
      </c>
      <c r="G21" s="55">
        <f>SUMIFS('2GENERAL PROGRAM INFORMATION'!N13:N5000,'2GENERAL PROGRAM INFORMATION'!B13:B5000,"&gt;=11/01/2022",'2GENERAL PROGRAM INFORMATION'!B13:B5000,"&lt;=11/30/2022")</f>
        <v>16</v>
      </c>
      <c r="H21" s="61">
        <f>SUMIFS('2GENERAL PROGRAM INFORMATION'!N13:N5000,'2GENERAL PROGRAM INFORMATION'!B13:B5000,"&gt;=12/01/2022",'2GENERAL PROGRAM INFORMATION'!B13:B5000,"&lt;=12/31/2022")</f>
        <v>17</v>
      </c>
      <c r="I21" s="55">
        <f>SUMIFS('2GENERAL PROGRAM INFORMATION'!N13:N5000,'2GENERAL PROGRAM INFORMATION'!B13:B5000,"&gt;=01/01/2023",'2GENERAL PROGRAM INFORMATION'!B13:B5000,"&lt;=01/31/2023")</f>
        <v>18</v>
      </c>
      <c r="J21" s="61">
        <f>SUMIFS('2GENERAL PROGRAM INFORMATION'!N13:N5000,'2GENERAL PROGRAM INFORMATION'!B13:B5000,"&gt;=02/01/2023",'2GENERAL PROGRAM INFORMATION'!B13:B5000,"&lt;=02/28/2023")</f>
        <v>19</v>
      </c>
      <c r="K21" s="55">
        <f>SUMIFS('2GENERAL PROGRAM INFORMATION'!N13:N5000,'2GENERAL PROGRAM INFORMATION'!B13:B5000,"&gt;=03/01/2023",'2GENERAL PROGRAM INFORMATION'!B13:B5000,"&lt;=03/31/2023")</f>
        <v>20</v>
      </c>
      <c r="L21" s="61">
        <f>SUMIFS('2GENERAL PROGRAM INFORMATION'!N13:N5000,'2GENERAL PROGRAM INFORMATION'!B13:B5000,"&gt;=04/01/2023",'2GENERAL PROGRAM INFORMATION'!B13:B5000,"&lt;=04/30/2023")</f>
        <v>21</v>
      </c>
      <c r="M21" s="55">
        <f>SUMIFS('2GENERAL PROGRAM INFORMATION'!N13:N5000,'2GENERAL PROGRAM INFORMATION'!B13:B5000,"&gt;=05/01/2023",'2GENERAL PROGRAM INFORMATION'!B13:B5000,"&lt;=05/31/2023")</f>
        <v>22</v>
      </c>
      <c r="N21" s="61">
        <f>SUMIFS('2GENERAL PROGRAM INFORMATION'!N13:N5000,'2GENERAL PROGRAM INFORMATION'!B13:B5000,"&gt;=06/01/2023",'2GENERAL PROGRAM INFORMATION'!B13:B5000,"&lt;=06/30/2023")</f>
        <v>23</v>
      </c>
      <c r="O21" s="55">
        <f>SUMIFS('2GENERAL PROGRAM INFORMATION'!N13:N5000,'2GENERAL PROGRAM INFORMATION'!B13:B5000,"&gt;=07/01/2023",'2GENERAL PROGRAM INFORMATION'!B13:B5000,"&lt;=07/31/2023")</f>
        <v>24</v>
      </c>
      <c r="P21" s="61">
        <f>SUMIFS('2GENERAL PROGRAM INFORMATION'!N13:N5000,'2GENERAL PROGRAM INFORMATION'!B13:B5000,"&gt;=08/01/2023",'2GENERAL PROGRAM INFORMATION'!B13:B5000,"&lt;=08/31/2023")</f>
        <v>25</v>
      </c>
      <c r="Q21" s="62">
        <f t="shared" si="1"/>
        <v>234</v>
      </c>
    </row>
    <row r="22" spans="1:17" ht="39.75" customHeight="1" x14ac:dyDescent="0.25">
      <c r="A22" s="820" t="s">
        <v>158</v>
      </c>
      <c r="B22" s="698"/>
      <c r="C22" s="698"/>
      <c r="D22" s="699"/>
      <c r="E22" s="55">
        <f>COUNTIFS('2GENERAL PROGRAM INFORMATION'!B13:B5000,"&gt;=09/01/2022",'2GENERAL PROGRAM INFORMATION'!B13:B5000,"&lt;=09/30/2022",'2GENERAL PROGRAM INFORMATION'!P13:P5000,"YES")</f>
        <v>1</v>
      </c>
      <c r="F22" s="61">
        <f>COUNTIFS('2GENERAL PROGRAM INFORMATION'!B13:B5000,"&gt;=10/01/2022",'2GENERAL PROGRAM INFORMATION'!B13:B5000,"&lt;=10/31/2022",'2GENERAL PROGRAM INFORMATION'!P13:P5000,"YES")</f>
        <v>1</v>
      </c>
      <c r="G22" s="55">
        <f>COUNTIFS('2GENERAL PROGRAM INFORMATION'!B13:B5000,"&gt;=11/01/2022",'2GENERAL PROGRAM INFORMATION'!B13:B5000,"&lt;=11/30/2022",'2GENERAL PROGRAM INFORMATION'!P13:P5000,"YES")</f>
        <v>1</v>
      </c>
      <c r="H22" s="61">
        <f>COUNTIFS('2GENERAL PROGRAM INFORMATION'!B13:B5000,"&gt;=12/01/2022",'2GENERAL PROGRAM INFORMATION'!B13:B5000,"&lt;=12/31/2022",'2GENERAL PROGRAM INFORMATION'!P13:P5000,"YES")</f>
        <v>1</v>
      </c>
      <c r="I22" s="55">
        <f>COUNTIFS('2GENERAL PROGRAM INFORMATION'!B13:B5000,"&gt;=01/01/2023",'2GENERAL PROGRAM INFORMATION'!B13:B5000,"&lt;=01/31/2023",'2GENERAL PROGRAM INFORMATION'!P13:P5000,"YES")</f>
        <v>1</v>
      </c>
      <c r="J22" s="61">
        <f>COUNTIFS('2GENERAL PROGRAM INFORMATION'!B13:B5000,"&gt;=02/01/2023",'2GENERAL PROGRAM INFORMATION'!B13:B5000,"&lt;=02/28/2023",'2GENERAL PROGRAM INFORMATION'!P13:P5000,"YES")</f>
        <v>1</v>
      </c>
      <c r="K22" s="55">
        <f>COUNTIFS('2GENERAL PROGRAM INFORMATION'!B13:B5000,"&gt;=03/01/2023",'2GENERAL PROGRAM INFORMATION'!B13:B5000,"&lt;=03/31/2023",'2GENERAL PROGRAM INFORMATION'!P13:P5000,"YES")</f>
        <v>1</v>
      </c>
      <c r="L22" s="61">
        <f>COUNTIFS('2GENERAL PROGRAM INFORMATION'!B13:B5000,"&gt;=04/01/2023",'2GENERAL PROGRAM INFORMATION'!B13:B5000,"&lt;=04/30/2023",'2GENERAL PROGRAM INFORMATION'!P13:P5000,"YES")</f>
        <v>1</v>
      </c>
      <c r="M22" s="55">
        <f>COUNTIFS('2GENERAL PROGRAM INFORMATION'!B13:B5000,"&gt;=05/01/2023",'2GENERAL PROGRAM INFORMATION'!B13:B5000,"&lt;=05/31/2023",'2GENERAL PROGRAM INFORMATION'!P13:P5000,"YES")</f>
        <v>1</v>
      </c>
      <c r="N22" s="61">
        <f>COUNTIFS('2GENERAL PROGRAM INFORMATION'!B13:B5000,"&gt;=06/01/2023",'2GENERAL PROGRAM INFORMATION'!B13:B5000,"&lt;=06/30/2023",'2GENERAL PROGRAM INFORMATION'!P13:P5000,"YES")</f>
        <v>1</v>
      </c>
      <c r="O22" s="55">
        <f>COUNTIFS('2GENERAL PROGRAM INFORMATION'!B13:B5000,"&gt;=07/01/2023",'2GENERAL PROGRAM INFORMATION'!B13:B5000,"&lt;=07/31/2023",'2GENERAL PROGRAM INFORMATION'!P13:P5000,"YES")</f>
        <v>1</v>
      </c>
      <c r="P22" s="61">
        <f>COUNTIFS('2GENERAL PROGRAM INFORMATION'!B13:B5000,"&gt;=08/01/2023",'2GENERAL PROGRAM INFORMATION'!B13:B5000,"&lt;=08/31/2023",'2GENERAL PROGRAM INFORMATION'!P13:P5000,"YES")</f>
        <v>1</v>
      </c>
      <c r="Q22" s="62">
        <f t="shared" si="1"/>
        <v>12</v>
      </c>
    </row>
    <row r="23" spans="1:17" ht="15.75" customHeight="1" x14ac:dyDescent="0.25"/>
    <row r="24" spans="1:17" ht="15.75" customHeight="1" x14ac:dyDescent="0.25"/>
    <row r="25" spans="1:17" ht="15.75" customHeight="1" x14ac:dyDescent="0.25"/>
    <row r="26" spans="1:17" ht="15.75" customHeight="1" x14ac:dyDescent="0.25"/>
    <row r="27" spans="1:17" ht="15.75" customHeight="1" x14ac:dyDescent="0.25"/>
    <row r="28" spans="1:17" ht="15.75" customHeight="1" x14ac:dyDescent="0.25"/>
    <row r="29" spans="1:17" ht="15.75" customHeight="1" x14ac:dyDescent="0.25"/>
    <row r="30" spans="1:17" ht="15.75" customHeight="1" x14ac:dyDescent="0.25"/>
    <row r="31" spans="1:17" ht="15.75" customHeight="1" x14ac:dyDescent="0.25"/>
    <row r="32" spans="1: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6">
    <mergeCell ref="A22:D22"/>
    <mergeCell ref="A12:D12"/>
    <mergeCell ref="A13:D13"/>
    <mergeCell ref="A14:D14"/>
    <mergeCell ref="A15:D15"/>
    <mergeCell ref="A16:D16"/>
    <mergeCell ref="A18:D18"/>
    <mergeCell ref="A10:Q10"/>
    <mergeCell ref="E11:Q11"/>
    <mergeCell ref="A19:D19"/>
    <mergeCell ref="A20:D20"/>
    <mergeCell ref="A21:D21"/>
    <mergeCell ref="E17:Q17"/>
    <mergeCell ref="A9:D9"/>
    <mergeCell ref="E9:F9"/>
    <mergeCell ref="G9:H9"/>
    <mergeCell ref="I9:L9"/>
    <mergeCell ref="M9:Q9"/>
    <mergeCell ref="I7:L7"/>
    <mergeCell ref="M7:Q7"/>
    <mergeCell ref="I8:L8"/>
    <mergeCell ref="M8:Q8"/>
    <mergeCell ref="A5:D5"/>
    <mergeCell ref="A6:D6"/>
    <mergeCell ref="E6:H6"/>
    <mergeCell ref="I6:L6"/>
    <mergeCell ref="M6:Q6"/>
    <mergeCell ref="A7:D8"/>
    <mergeCell ref="E7:H8"/>
    <mergeCell ref="A1:Q1"/>
    <mergeCell ref="A2:Q2"/>
    <mergeCell ref="A3:Q3"/>
    <mergeCell ref="A4:Q4"/>
    <mergeCell ref="E5:H5"/>
    <mergeCell ref="I5:L5"/>
    <mergeCell ref="M5:Q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x14ac:dyDescent="0.25"/>
  <cols>
    <col min="1" max="1" width="210.42578125" customWidth="1"/>
    <col min="2" max="26" width="8.7109375" customWidth="1"/>
  </cols>
  <sheetData>
    <row r="1" spans="1:1" ht="30" customHeight="1" x14ac:dyDescent="0.25">
      <c r="A1" s="63" t="s">
        <v>173</v>
      </c>
    </row>
    <row r="2" spans="1:1" ht="30" customHeight="1" x14ac:dyDescent="0.25">
      <c r="A2" s="64" t="s">
        <v>174</v>
      </c>
    </row>
    <row r="3" spans="1:1" ht="30" customHeight="1" x14ac:dyDescent="0.25">
      <c r="A3" s="65" t="s">
        <v>175</v>
      </c>
    </row>
    <row r="4" spans="1:1" ht="30" customHeight="1" x14ac:dyDescent="0.25">
      <c r="A4" s="65" t="s">
        <v>176</v>
      </c>
    </row>
    <row r="5" spans="1:1" ht="30" customHeight="1" x14ac:dyDescent="0.25">
      <c r="A5" s="64" t="s">
        <v>177</v>
      </c>
    </row>
    <row r="6" spans="1:1" ht="30" customHeight="1" x14ac:dyDescent="0.25">
      <c r="A6" s="65" t="s">
        <v>178</v>
      </c>
    </row>
    <row r="7" spans="1:1" ht="30" customHeight="1" x14ac:dyDescent="0.25">
      <c r="A7" s="65" t="s">
        <v>179</v>
      </c>
    </row>
    <row r="8" spans="1:1" ht="30" customHeight="1" x14ac:dyDescent="0.25">
      <c r="A8" s="65" t="s">
        <v>180</v>
      </c>
    </row>
    <row r="9" spans="1:1" ht="30" customHeight="1" x14ac:dyDescent="0.25">
      <c r="A9" s="64" t="s">
        <v>181</v>
      </c>
    </row>
    <row r="10" spans="1:1" ht="30" customHeight="1" x14ac:dyDescent="0.25">
      <c r="A10" s="65" t="s">
        <v>182</v>
      </c>
    </row>
    <row r="11" spans="1:1" ht="30" customHeight="1" x14ac:dyDescent="0.25">
      <c r="A11" s="65" t="s">
        <v>183</v>
      </c>
    </row>
    <row r="12" spans="1:1" ht="30" customHeight="1" x14ac:dyDescent="0.25">
      <c r="A12" s="65" t="s">
        <v>184</v>
      </c>
    </row>
    <row r="13" spans="1:1" ht="30" customHeight="1" x14ac:dyDescent="0.25">
      <c r="A13" s="65" t="s">
        <v>185</v>
      </c>
    </row>
    <row r="14" spans="1:1" ht="30" customHeight="1" x14ac:dyDescent="0.25">
      <c r="A14" s="65" t="s">
        <v>186</v>
      </c>
    </row>
    <row r="15" spans="1:1" ht="45" customHeight="1" x14ac:dyDescent="0.25">
      <c r="A15" s="65" t="s">
        <v>187</v>
      </c>
    </row>
    <row r="16" spans="1:1" ht="30" customHeight="1" x14ac:dyDescent="0.25">
      <c r="A16" s="65" t="s">
        <v>188</v>
      </c>
    </row>
    <row r="17" spans="1:1" ht="30" customHeight="1" x14ac:dyDescent="0.25">
      <c r="A17" s="65" t="s">
        <v>189</v>
      </c>
    </row>
    <row r="18" spans="1:1" ht="30" customHeight="1" x14ac:dyDescent="0.25">
      <c r="A18" s="64" t="s">
        <v>190</v>
      </c>
    </row>
    <row r="19" spans="1:1" ht="30" customHeight="1" x14ac:dyDescent="0.25">
      <c r="A19" s="65" t="s">
        <v>191</v>
      </c>
    </row>
    <row r="20" spans="1:1" ht="30" customHeight="1" x14ac:dyDescent="0.25">
      <c r="A20" s="65" t="s">
        <v>192</v>
      </c>
    </row>
    <row r="21" spans="1:1" ht="30" customHeight="1" x14ac:dyDescent="0.25">
      <c r="A21" s="65" t="s">
        <v>193</v>
      </c>
    </row>
    <row r="22" spans="1:1" ht="30" customHeight="1" x14ac:dyDescent="0.25">
      <c r="A22" s="65" t="s">
        <v>194</v>
      </c>
    </row>
    <row r="23" spans="1:1" ht="30" customHeight="1" x14ac:dyDescent="0.25">
      <c r="A23" s="65" t="s">
        <v>195</v>
      </c>
    </row>
    <row r="24" spans="1:1" ht="30" customHeight="1" x14ac:dyDescent="0.25">
      <c r="A24" s="64" t="s">
        <v>196</v>
      </c>
    </row>
    <row r="25" spans="1:1" ht="30" customHeight="1" x14ac:dyDescent="0.25">
      <c r="A25" s="64" t="s">
        <v>197</v>
      </c>
    </row>
    <row r="26" spans="1:1" ht="30" customHeight="1" x14ac:dyDescent="0.25">
      <c r="A26" s="64" t="s">
        <v>198</v>
      </c>
    </row>
    <row r="27" spans="1:1" ht="19.5" customHeight="1" x14ac:dyDescent="0.25">
      <c r="A27" s="66"/>
    </row>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4B083"/>
  </sheetPr>
  <dimension ref="A1:AF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0.85546875" customWidth="1"/>
    <col min="4" max="4" width="12.42578125" customWidth="1"/>
    <col min="5" max="5" width="14.28515625" customWidth="1"/>
    <col min="6" max="6" width="14.42578125" customWidth="1"/>
    <col min="7" max="7" width="12.28515625" customWidth="1"/>
    <col min="8" max="8" width="16.85546875" customWidth="1"/>
    <col min="9" max="9" width="15.42578125" customWidth="1"/>
    <col min="10" max="10" width="13.85546875" customWidth="1"/>
    <col min="11" max="11" width="12.42578125" customWidth="1"/>
    <col min="12" max="12" width="30.42578125" customWidth="1"/>
    <col min="13" max="13" width="12.42578125" customWidth="1"/>
    <col min="14" max="32" width="8.7109375" customWidth="1"/>
  </cols>
  <sheetData>
    <row r="1" spans="1:32" ht="69.75" customHeight="1" x14ac:dyDescent="0.25">
      <c r="A1" s="89" t="s">
        <v>27</v>
      </c>
      <c r="B1" s="90" t="s">
        <v>212</v>
      </c>
      <c r="C1" s="91" t="s">
        <v>213</v>
      </c>
      <c r="D1" s="90" t="s">
        <v>214</v>
      </c>
      <c r="E1" s="91" t="s">
        <v>215</v>
      </c>
      <c r="F1" s="92" t="s">
        <v>216</v>
      </c>
      <c r="G1" s="93" t="s">
        <v>217</v>
      </c>
      <c r="H1" s="94" t="s">
        <v>218</v>
      </c>
      <c r="I1" s="95" t="s">
        <v>219</v>
      </c>
      <c r="J1" s="96" t="s">
        <v>220</v>
      </c>
      <c r="K1" s="825" t="s">
        <v>221</v>
      </c>
      <c r="L1" s="699"/>
    </row>
    <row r="2" spans="1:32" ht="15.75" x14ac:dyDescent="0.25">
      <c r="A2" s="785" t="str">
        <f>'BASE GRANTEE INFO &amp; UPDATES'!A1</f>
        <v>WV Bureau For Behavioral Health - Harm Reduction 2025</v>
      </c>
      <c r="B2" s="705"/>
      <c r="C2" s="705"/>
      <c r="D2" s="705"/>
      <c r="E2" s="705"/>
      <c r="F2" s="705"/>
      <c r="G2" s="705"/>
      <c r="H2" s="705"/>
      <c r="I2" s="705"/>
      <c r="J2" s="705"/>
      <c r="K2" s="705"/>
      <c r="L2" s="706"/>
    </row>
    <row r="3" spans="1:32" ht="15.75" x14ac:dyDescent="0.25">
      <c r="A3" s="786">
        <f>'BASE GRANTEE INFO &amp; UPDATES'!A2</f>
        <v>0</v>
      </c>
      <c r="B3" s="708"/>
      <c r="C3" s="708"/>
      <c r="D3" s="708"/>
      <c r="E3" s="708"/>
      <c r="F3" s="708"/>
      <c r="G3" s="708"/>
      <c r="H3" s="708"/>
      <c r="I3" s="708"/>
      <c r="J3" s="708"/>
      <c r="K3" s="708"/>
      <c r="L3" s="778"/>
    </row>
    <row r="4" spans="1:32" ht="15.75" x14ac:dyDescent="0.25">
      <c r="A4" s="826" t="str">
        <f>'BASE GRANTEE INFO &amp; UPDATES'!A3</f>
        <v xml:space="preserve">Program reports need to be submitted electronically, via e-mail to BBHReporting@wv.gov  within 25 calendar days of the end of each month </v>
      </c>
      <c r="B4" s="711"/>
      <c r="C4" s="711"/>
      <c r="D4" s="711"/>
      <c r="E4" s="711"/>
      <c r="F4" s="711"/>
      <c r="G4" s="711"/>
      <c r="H4" s="711"/>
      <c r="I4" s="711"/>
      <c r="J4" s="711"/>
      <c r="K4" s="711"/>
      <c r="L4" s="712"/>
    </row>
    <row r="5" spans="1:32" ht="18.75" x14ac:dyDescent="0.25">
      <c r="A5" s="827" t="s">
        <v>222</v>
      </c>
      <c r="B5" s="698"/>
      <c r="C5" s="698"/>
      <c r="D5" s="698"/>
      <c r="E5" s="698"/>
      <c r="F5" s="698"/>
      <c r="G5" s="698"/>
      <c r="H5" s="698"/>
      <c r="I5" s="698"/>
      <c r="J5" s="698"/>
      <c r="K5" s="698"/>
      <c r="L5" s="714"/>
    </row>
    <row r="6" spans="1:32" ht="15" customHeight="1" x14ac:dyDescent="0.25">
      <c r="A6" s="790" t="s">
        <v>223</v>
      </c>
      <c r="B6" s="698"/>
      <c r="C6" s="698"/>
      <c r="D6" s="699"/>
      <c r="E6" s="794" t="str">
        <f>'BASE GRANTEE INFO &amp; UPDATES'!E5</f>
        <v>Harm Reduction Program</v>
      </c>
      <c r="F6" s="698"/>
      <c r="G6" s="698"/>
      <c r="H6" s="699"/>
      <c r="I6" s="795" t="s">
        <v>0</v>
      </c>
      <c r="J6" s="698"/>
      <c r="K6" s="699"/>
      <c r="L6" s="97">
        <f>'BASE GRANTEE INFO &amp; UPDATES'!M5</f>
        <v>0</v>
      </c>
      <c r="AE6" s="98"/>
      <c r="AF6" s="99"/>
    </row>
    <row r="7" spans="1:32" x14ac:dyDescent="0.25">
      <c r="A7" s="790" t="s">
        <v>224</v>
      </c>
      <c r="B7" s="698"/>
      <c r="C7" s="698"/>
      <c r="D7" s="699"/>
      <c r="E7" s="797">
        <f>'BASE GRANTEE INFO &amp; UPDATES'!E6</f>
        <v>0</v>
      </c>
      <c r="F7" s="698"/>
      <c r="G7" s="698"/>
      <c r="H7" s="699"/>
      <c r="I7" s="795" t="s">
        <v>1</v>
      </c>
      <c r="J7" s="698"/>
      <c r="K7" s="699"/>
      <c r="L7" s="97">
        <f>'BASE GRANTEE INFO &amp; UPDATES'!M6</f>
        <v>0</v>
      </c>
      <c r="AE7" s="98"/>
      <c r="AF7" s="99"/>
    </row>
    <row r="8" spans="1:32" ht="15" customHeight="1" x14ac:dyDescent="0.25">
      <c r="A8" s="789" t="s">
        <v>2</v>
      </c>
      <c r="B8" s="766"/>
      <c r="C8" s="766"/>
      <c r="D8" s="767"/>
      <c r="E8" s="798">
        <f>'BASE GRANTEE INFO &amp; UPDATES'!E7</f>
        <v>0</v>
      </c>
      <c r="F8" s="766"/>
      <c r="G8" s="766"/>
      <c r="H8" s="767"/>
      <c r="I8" s="795" t="s">
        <v>3</v>
      </c>
      <c r="J8" s="698"/>
      <c r="K8" s="699"/>
      <c r="L8" s="97">
        <f>'BASE GRANTEE INFO &amp; UPDATES'!M7</f>
        <v>0</v>
      </c>
      <c r="AE8" s="98"/>
      <c r="AF8" s="99"/>
    </row>
    <row r="9" spans="1:32" x14ac:dyDescent="0.25">
      <c r="A9" s="768"/>
      <c r="B9" s="769"/>
      <c r="C9" s="769"/>
      <c r="D9" s="770"/>
      <c r="E9" s="768"/>
      <c r="F9" s="769"/>
      <c r="G9" s="769"/>
      <c r="H9" s="770"/>
      <c r="I9" s="792" t="s">
        <v>225</v>
      </c>
      <c r="J9" s="698"/>
      <c r="K9" s="699"/>
      <c r="L9" s="97">
        <f>'BASE GRANTEE INFO &amp; UPDATES'!M8</f>
        <v>0</v>
      </c>
      <c r="AE9" s="98"/>
      <c r="AF9" s="99"/>
    </row>
    <row r="10" spans="1:32" x14ac:dyDescent="0.25">
      <c r="A10" s="828" t="s">
        <v>226</v>
      </c>
      <c r="B10" s="705"/>
      <c r="C10" s="705"/>
      <c r="D10" s="706"/>
      <c r="E10" s="829" t="str">
        <f>'BASE GRANTEE INFO &amp; UPDATES'!E9</f>
        <v>September 1 - 30</v>
      </c>
      <c r="F10" s="706"/>
      <c r="G10" s="830">
        <f>'BASE GRANTEE INFO &amp; UPDATES'!G9</f>
        <v>2024</v>
      </c>
      <c r="H10" s="706"/>
      <c r="I10" s="831" t="s">
        <v>227</v>
      </c>
      <c r="J10" s="705"/>
      <c r="K10" s="706"/>
      <c r="L10" s="100">
        <f>'BASE GRANTEE INFO &amp; UPDATES'!M9</f>
        <v>0</v>
      </c>
      <c r="AE10" s="98"/>
      <c r="AF10" s="99"/>
    </row>
    <row r="11" spans="1:32" ht="18.75" x14ac:dyDescent="0.25">
      <c r="A11" s="827" t="s">
        <v>228</v>
      </c>
      <c r="B11" s="698"/>
      <c r="C11" s="698"/>
      <c r="D11" s="698"/>
      <c r="E11" s="698"/>
      <c r="F11" s="698"/>
      <c r="G11" s="698"/>
      <c r="H11" s="698"/>
      <c r="I11" s="698"/>
      <c r="J11" s="698"/>
      <c r="K11" s="698"/>
      <c r="L11" s="714"/>
    </row>
    <row r="12" spans="1:32" ht="64.5" customHeight="1" x14ac:dyDescent="0.25">
      <c r="A12" s="101" t="s">
        <v>27</v>
      </c>
      <c r="B12" s="102" t="s">
        <v>212</v>
      </c>
      <c r="C12" s="103" t="s">
        <v>213</v>
      </c>
      <c r="D12" s="102" t="s">
        <v>214</v>
      </c>
      <c r="E12" s="103" t="s">
        <v>215</v>
      </c>
      <c r="F12" s="104" t="s">
        <v>216</v>
      </c>
      <c r="G12" s="105" t="s">
        <v>217</v>
      </c>
      <c r="H12" s="106" t="s">
        <v>218</v>
      </c>
      <c r="I12" s="107" t="s">
        <v>219</v>
      </c>
      <c r="J12" s="108" t="s">
        <v>220</v>
      </c>
      <c r="K12" s="825" t="s">
        <v>221</v>
      </c>
      <c r="L12" s="699"/>
    </row>
    <row r="13" spans="1:32" ht="49.5" customHeight="1" x14ac:dyDescent="0.25">
      <c r="A13" s="109">
        <f>ROW('4SCREENING -LINKAGE TO TX'!A1)</f>
        <v>1</v>
      </c>
      <c r="B13" s="110" t="e">
        <f>#REF!</f>
        <v>#REF!</v>
      </c>
      <c r="C13" s="111" t="e">
        <f>#REF!</f>
        <v>#REF!</v>
      </c>
      <c r="D13" s="112" t="e">
        <f>#REF!</f>
        <v>#REF!</v>
      </c>
      <c r="E13" s="113" t="e">
        <f>#REF!</f>
        <v>#REF!</v>
      </c>
      <c r="F13" s="114" t="s">
        <v>129</v>
      </c>
      <c r="G13" s="115"/>
      <c r="H13" s="94" t="s">
        <v>229</v>
      </c>
      <c r="I13" s="116" t="s">
        <v>12</v>
      </c>
      <c r="J13" s="117" t="s">
        <v>129</v>
      </c>
      <c r="K13" s="824"/>
      <c r="L13" s="699"/>
    </row>
    <row r="14" spans="1:32" ht="49.5" customHeight="1" x14ac:dyDescent="0.25">
      <c r="A14" s="109">
        <f t="shared" ref="A14:A62" si="0">ROW(A2)</f>
        <v>2</v>
      </c>
      <c r="B14" s="110" t="e">
        <f>#REF!</f>
        <v>#REF!</v>
      </c>
      <c r="C14" s="111" t="e">
        <f>#REF!</f>
        <v>#REF!</v>
      </c>
      <c r="D14" s="112" t="e">
        <f>#REF!</f>
        <v>#REF!</v>
      </c>
      <c r="E14" s="113" t="e">
        <f>#REF!</f>
        <v>#REF!</v>
      </c>
      <c r="F14" s="114" t="s">
        <v>230</v>
      </c>
      <c r="G14" s="115"/>
      <c r="H14" s="94" t="s">
        <v>231</v>
      </c>
      <c r="I14" s="118" t="s">
        <v>12</v>
      </c>
      <c r="J14" s="117" t="s">
        <v>230</v>
      </c>
      <c r="K14" s="824"/>
      <c r="L14" s="699"/>
    </row>
    <row r="15" spans="1:32" ht="49.5" customHeight="1" x14ac:dyDescent="0.25">
      <c r="A15" s="109">
        <f t="shared" si="0"/>
        <v>3</v>
      </c>
      <c r="B15" s="110" t="e">
        <f>#REF!</f>
        <v>#REF!</v>
      </c>
      <c r="C15" s="111" t="e">
        <f>#REF!</f>
        <v>#REF!</v>
      </c>
      <c r="D15" s="112" t="e">
        <f>#REF!</f>
        <v>#REF!</v>
      </c>
      <c r="E15" s="113" t="e">
        <f>#REF!</f>
        <v>#REF!</v>
      </c>
      <c r="F15" s="114" t="s">
        <v>129</v>
      </c>
      <c r="G15" s="115"/>
      <c r="H15" s="94" t="s">
        <v>232</v>
      </c>
      <c r="I15" s="118" t="s">
        <v>12</v>
      </c>
      <c r="J15" s="117" t="s">
        <v>129</v>
      </c>
      <c r="K15" s="824"/>
      <c r="L15" s="699"/>
    </row>
    <row r="16" spans="1:32" ht="49.5" customHeight="1" x14ac:dyDescent="0.25">
      <c r="A16" s="109">
        <f t="shared" si="0"/>
        <v>4</v>
      </c>
      <c r="B16" s="110" t="e">
        <f>#REF!</f>
        <v>#REF!</v>
      </c>
      <c r="C16" s="111" t="e">
        <f>#REF!</f>
        <v>#REF!</v>
      </c>
      <c r="D16" s="112" t="e">
        <f>#REF!</f>
        <v>#REF!</v>
      </c>
      <c r="E16" s="113" t="e">
        <f>#REF!</f>
        <v>#REF!</v>
      </c>
      <c r="F16" s="114" t="s">
        <v>230</v>
      </c>
      <c r="G16" s="115"/>
      <c r="H16" s="94" t="s">
        <v>233</v>
      </c>
      <c r="I16" s="118" t="s">
        <v>12</v>
      </c>
      <c r="J16" s="117" t="s">
        <v>230</v>
      </c>
      <c r="K16" s="824"/>
      <c r="L16" s="699"/>
    </row>
    <row r="17" spans="1:12" ht="49.5" customHeight="1" x14ac:dyDescent="0.25">
      <c r="A17" s="109">
        <f t="shared" si="0"/>
        <v>5</v>
      </c>
      <c r="B17" s="110" t="e">
        <f>#REF!</f>
        <v>#REF!</v>
      </c>
      <c r="C17" s="111" t="e">
        <f>#REF!</f>
        <v>#REF!</v>
      </c>
      <c r="D17" s="112" t="e">
        <f>#REF!</f>
        <v>#REF!</v>
      </c>
      <c r="E17" s="113" t="e">
        <f>#REF!</f>
        <v>#REF!</v>
      </c>
      <c r="F17" s="114" t="s">
        <v>129</v>
      </c>
      <c r="G17" s="115"/>
      <c r="H17" s="94" t="s">
        <v>234</v>
      </c>
      <c r="I17" s="118" t="s">
        <v>12</v>
      </c>
      <c r="J17" s="117" t="s">
        <v>129</v>
      </c>
      <c r="K17" s="824"/>
      <c r="L17" s="699"/>
    </row>
    <row r="18" spans="1:12" ht="49.5" customHeight="1" x14ac:dyDescent="0.25">
      <c r="A18" s="109">
        <f t="shared" si="0"/>
        <v>6</v>
      </c>
      <c r="B18" s="110" t="e">
        <f>#REF!</f>
        <v>#REF!</v>
      </c>
      <c r="C18" s="111" t="e">
        <f>#REF!</f>
        <v>#REF!</v>
      </c>
      <c r="D18" s="112" t="e">
        <f>#REF!</f>
        <v>#REF!</v>
      </c>
      <c r="E18" s="113" t="e">
        <f>#REF!</f>
        <v>#REF!</v>
      </c>
      <c r="F18" s="114" t="s">
        <v>230</v>
      </c>
      <c r="G18" s="115"/>
      <c r="H18" s="94" t="s">
        <v>235</v>
      </c>
      <c r="I18" s="118" t="s">
        <v>12</v>
      </c>
      <c r="J18" s="117" t="s">
        <v>230</v>
      </c>
      <c r="K18" s="824"/>
      <c r="L18" s="699"/>
    </row>
    <row r="19" spans="1:12" ht="49.5" customHeight="1" x14ac:dyDescent="0.25">
      <c r="A19" s="109">
        <f t="shared" si="0"/>
        <v>7</v>
      </c>
      <c r="B19" s="110" t="e">
        <f>#REF!</f>
        <v>#REF!</v>
      </c>
      <c r="C19" s="111" t="e">
        <f>#REF!</f>
        <v>#REF!</v>
      </c>
      <c r="D19" s="112" t="e">
        <f>#REF!</f>
        <v>#REF!</v>
      </c>
      <c r="E19" s="113" t="e">
        <f>#REF!</f>
        <v>#REF!</v>
      </c>
      <c r="F19" s="114" t="s">
        <v>129</v>
      </c>
      <c r="G19" s="115"/>
      <c r="H19" s="94" t="s">
        <v>236</v>
      </c>
      <c r="I19" s="118" t="s">
        <v>12</v>
      </c>
      <c r="J19" s="117" t="s">
        <v>129</v>
      </c>
      <c r="K19" s="824"/>
      <c r="L19" s="699"/>
    </row>
    <row r="20" spans="1:12" ht="49.5" customHeight="1" x14ac:dyDescent="0.25">
      <c r="A20" s="109">
        <f t="shared" si="0"/>
        <v>8</v>
      </c>
      <c r="B20" s="110" t="e">
        <f>#REF!</f>
        <v>#REF!</v>
      </c>
      <c r="C20" s="111" t="e">
        <f>#REF!</f>
        <v>#REF!</v>
      </c>
      <c r="D20" s="112" t="e">
        <f>#REF!</f>
        <v>#REF!</v>
      </c>
      <c r="E20" s="113" t="e">
        <f>#REF!</f>
        <v>#REF!</v>
      </c>
      <c r="F20" s="114" t="s">
        <v>230</v>
      </c>
      <c r="G20" s="115"/>
      <c r="H20" s="94" t="s">
        <v>237</v>
      </c>
      <c r="I20" s="118" t="s">
        <v>12</v>
      </c>
      <c r="J20" s="117" t="s">
        <v>230</v>
      </c>
      <c r="K20" s="824"/>
      <c r="L20" s="699"/>
    </row>
    <row r="21" spans="1:12" ht="49.5" customHeight="1" x14ac:dyDescent="0.25">
      <c r="A21" s="109">
        <f t="shared" si="0"/>
        <v>9</v>
      </c>
      <c r="B21" s="110" t="e">
        <f>#REF!</f>
        <v>#REF!</v>
      </c>
      <c r="C21" s="111" t="e">
        <f>#REF!</f>
        <v>#REF!</v>
      </c>
      <c r="D21" s="112" t="e">
        <f>#REF!</f>
        <v>#REF!</v>
      </c>
      <c r="E21" s="113" t="e">
        <f>#REF!</f>
        <v>#REF!</v>
      </c>
      <c r="F21" s="114" t="s">
        <v>129</v>
      </c>
      <c r="G21" s="115"/>
      <c r="H21" s="94" t="s">
        <v>238</v>
      </c>
      <c r="I21" s="118" t="s">
        <v>12</v>
      </c>
      <c r="J21" s="117" t="s">
        <v>129</v>
      </c>
      <c r="K21" s="824"/>
      <c r="L21" s="699"/>
    </row>
    <row r="22" spans="1:12" ht="49.5" customHeight="1" x14ac:dyDescent="0.25">
      <c r="A22" s="109">
        <f t="shared" si="0"/>
        <v>10</v>
      </c>
      <c r="B22" s="110" t="e">
        <f>#REF!</f>
        <v>#REF!</v>
      </c>
      <c r="C22" s="111" t="e">
        <f>#REF!</f>
        <v>#REF!</v>
      </c>
      <c r="D22" s="112" t="e">
        <f>#REF!</f>
        <v>#REF!</v>
      </c>
      <c r="E22" s="113" t="e">
        <f>#REF!</f>
        <v>#REF!</v>
      </c>
      <c r="F22" s="114" t="s">
        <v>230</v>
      </c>
      <c r="G22" s="115"/>
      <c r="H22" s="94" t="s">
        <v>229</v>
      </c>
      <c r="I22" s="118" t="s">
        <v>12</v>
      </c>
      <c r="J22" s="117" t="s">
        <v>230</v>
      </c>
      <c r="K22" s="824"/>
      <c r="L22" s="699"/>
    </row>
    <row r="23" spans="1:12" ht="49.5" customHeight="1" x14ac:dyDescent="0.25">
      <c r="A23" s="109">
        <f t="shared" si="0"/>
        <v>11</v>
      </c>
      <c r="B23" s="110" t="e">
        <f>#REF!</f>
        <v>#REF!</v>
      </c>
      <c r="C23" s="111" t="e">
        <f>#REF!</f>
        <v>#REF!</v>
      </c>
      <c r="D23" s="112" t="e">
        <f>#REF!</f>
        <v>#REF!</v>
      </c>
      <c r="E23" s="113" t="e">
        <f>#REF!</f>
        <v>#REF!</v>
      </c>
      <c r="F23" s="114" t="s">
        <v>129</v>
      </c>
      <c r="G23" s="115"/>
      <c r="H23" s="94" t="s">
        <v>229</v>
      </c>
      <c r="I23" s="118" t="s">
        <v>12</v>
      </c>
      <c r="J23" s="117" t="s">
        <v>129</v>
      </c>
      <c r="K23" s="824"/>
      <c r="L23" s="699"/>
    </row>
    <row r="24" spans="1:12" ht="49.5" customHeight="1" x14ac:dyDescent="0.25">
      <c r="A24" s="109">
        <f t="shared" si="0"/>
        <v>12</v>
      </c>
      <c r="B24" s="110" t="e">
        <f>#REF!</f>
        <v>#REF!</v>
      </c>
      <c r="C24" s="111" t="e">
        <f>#REF!</f>
        <v>#REF!</v>
      </c>
      <c r="D24" s="112" t="e">
        <f>#REF!</f>
        <v>#REF!</v>
      </c>
      <c r="E24" s="113" t="e">
        <f>#REF!</f>
        <v>#REF!</v>
      </c>
      <c r="F24" s="114" t="s">
        <v>230</v>
      </c>
      <c r="G24" s="115"/>
      <c r="H24" s="94" t="s">
        <v>231</v>
      </c>
      <c r="I24" s="118" t="s">
        <v>12</v>
      </c>
      <c r="J24" s="117" t="s">
        <v>230</v>
      </c>
      <c r="K24" s="824"/>
      <c r="L24" s="699"/>
    </row>
    <row r="25" spans="1:12" ht="49.5" customHeight="1" x14ac:dyDescent="0.25">
      <c r="A25" s="109">
        <f t="shared" si="0"/>
        <v>13</v>
      </c>
      <c r="B25" s="110" t="e">
        <f>#REF!</f>
        <v>#REF!</v>
      </c>
      <c r="C25" s="111" t="e">
        <f>#REF!</f>
        <v>#REF!</v>
      </c>
      <c r="D25" s="112" t="e">
        <f>#REF!</f>
        <v>#REF!</v>
      </c>
      <c r="E25" s="113" t="e">
        <f>#REF!</f>
        <v>#REF!</v>
      </c>
      <c r="F25" s="114" t="s">
        <v>129</v>
      </c>
      <c r="G25" s="119"/>
      <c r="H25" s="94" t="s">
        <v>229</v>
      </c>
      <c r="I25" s="120"/>
      <c r="J25" s="117" t="s">
        <v>129</v>
      </c>
      <c r="K25" s="824"/>
      <c r="L25" s="699"/>
    </row>
    <row r="26" spans="1:12" ht="49.5" customHeight="1" x14ac:dyDescent="0.25">
      <c r="A26" s="109">
        <f t="shared" si="0"/>
        <v>14</v>
      </c>
      <c r="B26" s="110" t="e">
        <f>#REF!</f>
        <v>#REF!</v>
      </c>
      <c r="C26" s="111" t="e">
        <f>#REF!</f>
        <v>#REF!</v>
      </c>
      <c r="D26" s="112" t="e">
        <f>#REF!</f>
        <v>#REF!</v>
      </c>
      <c r="E26" s="113" t="e">
        <f>#REF!</f>
        <v>#REF!</v>
      </c>
      <c r="F26" s="114" t="s">
        <v>230</v>
      </c>
      <c r="G26" s="119"/>
      <c r="H26" s="94" t="s">
        <v>231</v>
      </c>
      <c r="I26" s="120"/>
      <c r="J26" s="117" t="s">
        <v>230</v>
      </c>
      <c r="K26" s="824"/>
      <c r="L26" s="699"/>
    </row>
    <row r="27" spans="1:12" ht="49.5" customHeight="1" x14ac:dyDescent="0.25">
      <c r="A27" s="109">
        <f t="shared" si="0"/>
        <v>15</v>
      </c>
      <c r="B27" s="110" t="e">
        <f>#REF!</f>
        <v>#REF!</v>
      </c>
      <c r="C27" s="111" t="e">
        <f>#REF!</f>
        <v>#REF!</v>
      </c>
      <c r="D27" s="112" t="e">
        <f>#REF!</f>
        <v>#REF!</v>
      </c>
      <c r="E27" s="113" t="e">
        <f>#REF!</f>
        <v>#REF!</v>
      </c>
      <c r="F27" s="114" t="s">
        <v>129</v>
      </c>
      <c r="G27" s="119"/>
      <c r="H27" s="94" t="s">
        <v>232</v>
      </c>
      <c r="I27" s="120"/>
      <c r="J27" s="117" t="s">
        <v>129</v>
      </c>
      <c r="K27" s="824"/>
      <c r="L27" s="699"/>
    </row>
    <row r="28" spans="1:12" ht="49.5" customHeight="1" x14ac:dyDescent="0.25">
      <c r="A28" s="109">
        <f t="shared" si="0"/>
        <v>16</v>
      </c>
      <c r="B28" s="110" t="e">
        <f>#REF!</f>
        <v>#REF!</v>
      </c>
      <c r="C28" s="111" t="e">
        <f>#REF!</f>
        <v>#REF!</v>
      </c>
      <c r="D28" s="112" t="e">
        <f>#REF!</f>
        <v>#REF!</v>
      </c>
      <c r="E28" s="113" t="e">
        <f>#REF!</f>
        <v>#REF!</v>
      </c>
      <c r="F28" s="114" t="s">
        <v>230</v>
      </c>
      <c r="G28" s="119"/>
      <c r="H28" s="94" t="s">
        <v>233</v>
      </c>
      <c r="I28" s="120"/>
      <c r="J28" s="117" t="s">
        <v>230</v>
      </c>
      <c r="K28" s="824"/>
      <c r="L28" s="699"/>
    </row>
    <row r="29" spans="1:12" ht="49.5" customHeight="1" x14ac:dyDescent="0.25">
      <c r="A29" s="109">
        <f t="shared" si="0"/>
        <v>17</v>
      </c>
      <c r="B29" s="110" t="e">
        <f>#REF!</f>
        <v>#REF!</v>
      </c>
      <c r="C29" s="111" t="e">
        <f>#REF!</f>
        <v>#REF!</v>
      </c>
      <c r="D29" s="112" t="e">
        <f>#REF!</f>
        <v>#REF!</v>
      </c>
      <c r="E29" s="113" t="e">
        <f>#REF!</f>
        <v>#REF!</v>
      </c>
      <c r="F29" s="114" t="s">
        <v>129</v>
      </c>
      <c r="G29" s="119"/>
      <c r="H29" s="94" t="s">
        <v>234</v>
      </c>
      <c r="I29" s="120"/>
      <c r="J29" s="117" t="s">
        <v>129</v>
      </c>
      <c r="K29" s="824"/>
      <c r="L29" s="699"/>
    </row>
    <row r="30" spans="1:12" ht="49.5" customHeight="1" x14ac:dyDescent="0.25">
      <c r="A30" s="109">
        <f t="shared" si="0"/>
        <v>18</v>
      </c>
      <c r="B30" s="110" t="e">
        <f>#REF!</f>
        <v>#REF!</v>
      </c>
      <c r="C30" s="111" t="e">
        <f>#REF!</f>
        <v>#REF!</v>
      </c>
      <c r="D30" s="112" t="e">
        <f>#REF!</f>
        <v>#REF!</v>
      </c>
      <c r="E30" s="113" t="e">
        <f>#REF!</f>
        <v>#REF!</v>
      </c>
      <c r="F30" s="114" t="s">
        <v>230</v>
      </c>
      <c r="G30" s="119"/>
      <c r="H30" s="94" t="s">
        <v>235</v>
      </c>
      <c r="I30" s="120"/>
      <c r="J30" s="117" t="s">
        <v>230</v>
      </c>
      <c r="K30" s="824"/>
      <c r="L30" s="699"/>
    </row>
    <row r="31" spans="1:12" ht="49.5" customHeight="1" x14ac:dyDescent="0.25">
      <c r="A31" s="109">
        <f t="shared" si="0"/>
        <v>19</v>
      </c>
      <c r="B31" s="110" t="e">
        <f>#REF!</f>
        <v>#REF!</v>
      </c>
      <c r="C31" s="111" t="e">
        <f>#REF!</f>
        <v>#REF!</v>
      </c>
      <c r="D31" s="112" t="e">
        <f>#REF!</f>
        <v>#REF!</v>
      </c>
      <c r="E31" s="113" t="e">
        <f>#REF!</f>
        <v>#REF!</v>
      </c>
      <c r="F31" s="114" t="s">
        <v>129</v>
      </c>
      <c r="G31" s="119"/>
      <c r="H31" s="94" t="s">
        <v>236</v>
      </c>
      <c r="I31" s="120"/>
      <c r="J31" s="117" t="s">
        <v>129</v>
      </c>
      <c r="K31" s="824"/>
      <c r="L31" s="699"/>
    </row>
    <row r="32" spans="1:12" ht="49.5" customHeight="1" x14ac:dyDescent="0.25">
      <c r="A32" s="109">
        <f t="shared" si="0"/>
        <v>20</v>
      </c>
      <c r="B32" s="110" t="e">
        <f>#REF!</f>
        <v>#REF!</v>
      </c>
      <c r="C32" s="111" t="e">
        <f>#REF!</f>
        <v>#REF!</v>
      </c>
      <c r="D32" s="112" t="e">
        <f>#REF!</f>
        <v>#REF!</v>
      </c>
      <c r="E32" s="113" t="e">
        <f>#REF!</f>
        <v>#REF!</v>
      </c>
      <c r="F32" s="114" t="s">
        <v>230</v>
      </c>
      <c r="G32" s="121"/>
      <c r="H32" s="94" t="s">
        <v>237</v>
      </c>
      <c r="I32" s="120"/>
      <c r="J32" s="117" t="s">
        <v>230</v>
      </c>
      <c r="K32" s="824"/>
      <c r="L32" s="699"/>
    </row>
    <row r="33" spans="1:12" ht="49.5" customHeight="1" x14ac:dyDescent="0.25">
      <c r="A33" s="109">
        <f t="shared" si="0"/>
        <v>21</v>
      </c>
      <c r="B33" s="110" t="e">
        <f>#REF!</f>
        <v>#REF!</v>
      </c>
      <c r="C33" s="111" t="e">
        <f>#REF!</f>
        <v>#REF!</v>
      </c>
      <c r="D33" s="112" t="e">
        <f>#REF!</f>
        <v>#REF!</v>
      </c>
      <c r="E33" s="113" t="e">
        <f>#REF!</f>
        <v>#REF!</v>
      </c>
      <c r="F33" s="114" t="s">
        <v>129</v>
      </c>
      <c r="G33" s="119"/>
      <c r="H33" s="94" t="s">
        <v>238</v>
      </c>
      <c r="I33" s="120"/>
      <c r="J33" s="117" t="s">
        <v>129</v>
      </c>
      <c r="K33" s="824"/>
      <c r="L33" s="699"/>
    </row>
    <row r="34" spans="1:12" ht="49.5" customHeight="1" x14ac:dyDescent="0.25">
      <c r="A34" s="109">
        <f t="shared" si="0"/>
        <v>22</v>
      </c>
      <c r="B34" s="110" t="e">
        <f>#REF!</f>
        <v>#REF!</v>
      </c>
      <c r="C34" s="111" t="e">
        <f>#REF!</f>
        <v>#REF!</v>
      </c>
      <c r="D34" s="112" t="e">
        <f>#REF!</f>
        <v>#REF!</v>
      </c>
      <c r="E34" s="113" t="e">
        <f>#REF!</f>
        <v>#REF!</v>
      </c>
      <c r="F34" s="114" t="s">
        <v>230</v>
      </c>
      <c r="G34" s="119"/>
      <c r="H34" s="94" t="s">
        <v>229</v>
      </c>
      <c r="I34" s="120"/>
      <c r="J34" s="117" t="s">
        <v>230</v>
      </c>
      <c r="K34" s="824"/>
      <c r="L34" s="699"/>
    </row>
    <row r="35" spans="1:12" ht="49.5" customHeight="1" x14ac:dyDescent="0.25">
      <c r="A35" s="109">
        <f t="shared" si="0"/>
        <v>23</v>
      </c>
      <c r="B35" s="110" t="e">
        <f>#REF!</f>
        <v>#REF!</v>
      </c>
      <c r="C35" s="111" t="e">
        <f>#REF!</f>
        <v>#REF!</v>
      </c>
      <c r="D35" s="112" t="e">
        <f>#REF!</f>
        <v>#REF!</v>
      </c>
      <c r="E35" s="113" t="e">
        <f>#REF!</f>
        <v>#REF!</v>
      </c>
      <c r="F35" s="114" t="s">
        <v>129</v>
      </c>
      <c r="G35" s="119"/>
      <c r="H35" s="94" t="s">
        <v>229</v>
      </c>
      <c r="I35" s="120"/>
      <c r="J35" s="117" t="s">
        <v>129</v>
      </c>
      <c r="K35" s="824"/>
      <c r="L35" s="699"/>
    </row>
    <row r="36" spans="1:12" ht="49.5" customHeight="1" x14ac:dyDescent="0.25">
      <c r="A36" s="109">
        <f t="shared" si="0"/>
        <v>24</v>
      </c>
      <c r="B36" s="110" t="e">
        <f>#REF!</f>
        <v>#REF!</v>
      </c>
      <c r="C36" s="111" t="e">
        <f>#REF!</f>
        <v>#REF!</v>
      </c>
      <c r="D36" s="112" t="e">
        <f>#REF!</f>
        <v>#REF!</v>
      </c>
      <c r="E36" s="113" t="e">
        <f>#REF!</f>
        <v>#REF!</v>
      </c>
      <c r="F36" s="114" t="s">
        <v>230</v>
      </c>
      <c r="G36" s="119"/>
      <c r="H36" s="94" t="s">
        <v>231</v>
      </c>
      <c r="I36" s="120"/>
      <c r="J36" s="117" t="s">
        <v>230</v>
      </c>
      <c r="K36" s="824"/>
      <c r="L36" s="699"/>
    </row>
    <row r="37" spans="1:12" ht="49.5" customHeight="1" x14ac:dyDescent="0.25">
      <c r="A37" s="109">
        <f t="shared" si="0"/>
        <v>25</v>
      </c>
      <c r="B37" s="110" t="e">
        <f>#REF!</f>
        <v>#REF!</v>
      </c>
      <c r="C37" s="111" t="e">
        <f>#REF!</f>
        <v>#REF!</v>
      </c>
      <c r="D37" s="112" t="e">
        <f>#REF!</f>
        <v>#REF!</v>
      </c>
      <c r="E37" s="113" t="e">
        <f>#REF!</f>
        <v>#REF!</v>
      </c>
      <c r="F37" s="114" t="s">
        <v>129</v>
      </c>
      <c r="G37" s="119"/>
      <c r="H37" s="94" t="s">
        <v>229</v>
      </c>
      <c r="I37" s="120"/>
      <c r="J37" s="117" t="s">
        <v>129</v>
      </c>
      <c r="K37" s="824"/>
      <c r="L37" s="699"/>
    </row>
    <row r="38" spans="1:12" ht="49.5" customHeight="1" x14ac:dyDescent="0.25">
      <c r="A38" s="109">
        <f t="shared" si="0"/>
        <v>26</v>
      </c>
      <c r="B38" s="110" t="e">
        <f>#REF!</f>
        <v>#REF!</v>
      </c>
      <c r="C38" s="111" t="e">
        <f>#REF!</f>
        <v>#REF!</v>
      </c>
      <c r="D38" s="112" t="e">
        <f>#REF!</f>
        <v>#REF!</v>
      </c>
      <c r="E38" s="113" t="e">
        <f>#REF!</f>
        <v>#REF!</v>
      </c>
      <c r="F38" s="114" t="s">
        <v>230</v>
      </c>
      <c r="G38" s="119"/>
      <c r="H38" s="94" t="s">
        <v>231</v>
      </c>
      <c r="I38" s="120"/>
      <c r="J38" s="117" t="s">
        <v>230</v>
      </c>
      <c r="K38" s="824"/>
      <c r="L38" s="699"/>
    </row>
    <row r="39" spans="1:12" ht="49.5" customHeight="1" x14ac:dyDescent="0.25">
      <c r="A39" s="109">
        <f t="shared" si="0"/>
        <v>27</v>
      </c>
      <c r="B39" s="110" t="e">
        <f>#REF!</f>
        <v>#REF!</v>
      </c>
      <c r="C39" s="111" t="e">
        <f>#REF!</f>
        <v>#REF!</v>
      </c>
      <c r="D39" s="112" t="e">
        <f>#REF!</f>
        <v>#REF!</v>
      </c>
      <c r="E39" s="113" t="e">
        <f>#REF!</f>
        <v>#REF!</v>
      </c>
      <c r="F39" s="114" t="s">
        <v>129</v>
      </c>
      <c r="G39" s="119"/>
      <c r="H39" s="94" t="s">
        <v>232</v>
      </c>
      <c r="I39" s="120"/>
      <c r="J39" s="117" t="s">
        <v>129</v>
      </c>
      <c r="K39" s="824"/>
      <c r="L39" s="699"/>
    </row>
    <row r="40" spans="1:12" ht="49.5" customHeight="1" x14ac:dyDescent="0.25">
      <c r="A40" s="109">
        <f t="shared" si="0"/>
        <v>28</v>
      </c>
      <c r="B40" s="110" t="e">
        <f>#REF!</f>
        <v>#REF!</v>
      </c>
      <c r="C40" s="111" t="e">
        <f>#REF!</f>
        <v>#REF!</v>
      </c>
      <c r="D40" s="112" t="e">
        <f>#REF!</f>
        <v>#REF!</v>
      </c>
      <c r="E40" s="113" t="e">
        <f>#REF!</f>
        <v>#REF!</v>
      </c>
      <c r="F40" s="114" t="s">
        <v>230</v>
      </c>
      <c r="G40" s="119"/>
      <c r="H40" s="94" t="s">
        <v>233</v>
      </c>
      <c r="I40" s="120"/>
      <c r="J40" s="117" t="s">
        <v>230</v>
      </c>
      <c r="K40" s="824"/>
      <c r="L40" s="699"/>
    </row>
    <row r="41" spans="1:12" ht="49.5" customHeight="1" x14ac:dyDescent="0.25">
      <c r="A41" s="109">
        <f t="shared" si="0"/>
        <v>29</v>
      </c>
      <c r="B41" s="110" t="e">
        <f>#REF!</f>
        <v>#REF!</v>
      </c>
      <c r="C41" s="111" t="e">
        <f>#REF!</f>
        <v>#REF!</v>
      </c>
      <c r="D41" s="112" t="e">
        <f>#REF!</f>
        <v>#REF!</v>
      </c>
      <c r="E41" s="113" t="e">
        <f>#REF!</f>
        <v>#REF!</v>
      </c>
      <c r="F41" s="114" t="s">
        <v>129</v>
      </c>
      <c r="G41" s="119"/>
      <c r="H41" s="94" t="s">
        <v>234</v>
      </c>
      <c r="I41" s="120"/>
      <c r="J41" s="117" t="s">
        <v>129</v>
      </c>
      <c r="K41" s="824"/>
      <c r="L41" s="699"/>
    </row>
    <row r="42" spans="1:12" ht="49.5" customHeight="1" x14ac:dyDescent="0.25">
      <c r="A42" s="109">
        <f t="shared" si="0"/>
        <v>30</v>
      </c>
      <c r="B42" s="110" t="e">
        <f>#REF!</f>
        <v>#REF!</v>
      </c>
      <c r="C42" s="111" t="e">
        <f>#REF!</f>
        <v>#REF!</v>
      </c>
      <c r="D42" s="112" t="e">
        <f>#REF!</f>
        <v>#REF!</v>
      </c>
      <c r="E42" s="113" t="e">
        <f>#REF!</f>
        <v>#REF!</v>
      </c>
      <c r="F42" s="114" t="s">
        <v>230</v>
      </c>
      <c r="G42" s="121"/>
      <c r="H42" s="94" t="s">
        <v>235</v>
      </c>
      <c r="I42" s="120"/>
      <c r="J42" s="117" t="s">
        <v>230</v>
      </c>
      <c r="K42" s="824"/>
      <c r="L42" s="699"/>
    </row>
    <row r="43" spans="1:12" ht="49.5" customHeight="1" x14ac:dyDescent="0.25">
      <c r="A43" s="109">
        <f t="shared" si="0"/>
        <v>31</v>
      </c>
      <c r="B43" s="110" t="e">
        <f>#REF!</f>
        <v>#REF!</v>
      </c>
      <c r="C43" s="111" t="e">
        <f>#REF!</f>
        <v>#REF!</v>
      </c>
      <c r="D43" s="112" t="e">
        <f>#REF!</f>
        <v>#REF!</v>
      </c>
      <c r="E43" s="113" t="e">
        <f>#REF!</f>
        <v>#REF!</v>
      </c>
      <c r="F43" s="114" t="s">
        <v>129</v>
      </c>
      <c r="G43" s="121"/>
      <c r="H43" s="94" t="s">
        <v>236</v>
      </c>
      <c r="I43" s="120"/>
      <c r="J43" s="117" t="s">
        <v>129</v>
      </c>
      <c r="K43" s="824"/>
      <c r="L43" s="699"/>
    </row>
    <row r="44" spans="1:12" ht="49.5" customHeight="1" x14ac:dyDescent="0.25">
      <c r="A44" s="109">
        <f t="shared" si="0"/>
        <v>32</v>
      </c>
      <c r="B44" s="110" t="e">
        <f>#REF!</f>
        <v>#REF!</v>
      </c>
      <c r="C44" s="111" t="e">
        <f>#REF!</f>
        <v>#REF!</v>
      </c>
      <c r="D44" s="112" t="e">
        <f>#REF!</f>
        <v>#REF!</v>
      </c>
      <c r="E44" s="113" t="e">
        <f>#REF!</f>
        <v>#REF!</v>
      </c>
      <c r="F44" s="114" t="s">
        <v>230</v>
      </c>
      <c r="G44" s="119"/>
      <c r="H44" s="94" t="s">
        <v>237</v>
      </c>
      <c r="I44" s="120"/>
      <c r="J44" s="117" t="s">
        <v>230</v>
      </c>
      <c r="K44" s="824"/>
      <c r="L44" s="699"/>
    </row>
    <row r="45" spans="1:12" ht="49.5" customHeight="1" x14ac:dyDescent="0.25">
      <c r="A45" s="109">
        <f t="shared" si="0"/>
        <v>33</v>
      </c>
      <c r="B45" s="110" t="e">
        <f>#REF!</f>
        <v>#REF!</v>
      </c>
      <c r="C45" s="111" t="e">
        <f>#REF!</f>
        <v>#REF!</v>
      </c>
      <c r="D45" s="112" t="e">
        <f>#REF!</f>
        <v>#REF!</v>
      </c>
      <c r="E45" s="113" t="e">
        <f>#REF!</f>
        <v>#REF!</v>
      </c>
      <c r="F45" s="114" t="s">
        <v>129</v>
      </c>
      <c r="G45" s="119"/>
      <c r="H45" s="94" t="s">
        <v>238</v>
      </c>
      <c r="I45" s="120"/>
      <c r="J45" s="117" t="s">
        <v>129</v>
      </c>
      <c r="K45" s="824"/>
      <c r="L45" s="699"/>
    </row>
    <row r="46" spans="1:12" ht="49.5" customHeight="1" x14ac:dyDescent="0.25">
      <c r="A46" s="109">
        <f t="shared" si="0"/>
        <v>34</v>
      </c>
      <c r="B46" s="110" t="e">
        <f>#REF!</f>
        <v>#REF!</v>
      </c>
      <c r="C46" s="111" t="e">
        <f>#REF!</f>
        <v>#REF!</v>
      </c>
      <c r="D46" s="112" t="e">
        <f>#REF!</f>
        <v>#REF!</v>
      </c>
      <c r="E46" s="113" t="e">
        <f>#REF!</f>
        <v>#REF!</v>
      </c>
      <c r="F46" s="114" t="s">
        <v>230</v>
      </c>
      <c r="G46" s="119"/>
      <c r="H46" s="94" t="s">
        <v>229</v>
      </c>
      <c r="I46" s="120"/>
      <c r="J46" s="117" t="s">
        <v>230</v>
      </c>
      <c r="K46" s="824"/>
      <c r="L46" s="699"/>
    </row>
    <row r="47" spans="1:12" ht="49.5" customHeight="1" x14ac:dyDescent="0.25">
      <c r="A47" s="109">
        <f t="shared" si="0"/>
        <v>35</v>
      </c>
      <c r="B47" s="110" t="e">
        <f>#REF!</f>
        <v>#REF!</v>
      </c>
      <c r="C47" s="111" t="e">
        <f>#REF!</f>
        <v>#REF!</v>
      </c>
      <c r="D47" s="112" t="e">
        <f>#REF!</f>
        <v>#REF!</v>
      </c>
      <c r="E47" s="113" t="e">
        <f>#REF!</f>
        <v>#REF!</v>
      </c>
      <c r="F47" s="114" t="s">
        <v>129</v>
      </c>
      <c r="G47" s="119"/>
      <c r="H47" s="94" t="s">
        <v>229</v>
      </c>
      <c r="I47" s="120"/>
      <c r="J47" s="117" t="s">
        <v>129</v>
      </c>
      <c r="K47" s="824"/>
      <c r="L47" s="699"/>
    </row>
    <row r="48" spans="1:12" ht="49.5" customHeight="1" x14ac:dyDescent="0.25">
      <c r="A48" s="109">
        <f t="shared" si="0"/>
        <v>36</v>
      </c>
      <c r="B48" s="110" t="e">
        <f>#REF!</f>
        <v>#REF!</v>
      </c>
      <c r="C48" s="111" t="e">
        <f>#REF!</f>
        <v>#REF!</v>
      </c>
      <c r="D48" s="112" t="e">
        <f>#REF!</f>
        <v>#REF!</v>
      </c>
      <c r="E48" s="113" t="e">
        <f>#REF!</f>
        <v>#REF!</v>
      </c>
      <c r="F48" s="114" t="s">
        <v>230</v>
      </c>
      <c r="G48" s="119"/>
      <c r="H48" s="94" t="s">
        <v>231</v>
      </c>
      <c r="I48" s="120"/>
      <c r="J48" s="117" t="s">
        <v>230</v>
      </c>
      <c r="K48" s="824"/>
      <c r="L48" s="699"/>
    </row>
    <row r="49" spans="1:12" ht="49.5" customHeight="1" x14ac:dyDescent="0.25">
      <c r="A49" s="109">
        <f t="shared" si="0"/>
        <v>37</v>
      </c>
      <c r="B49" s="110" t="e">
        <f>#REF!</f>
        <v>#REF!</v>
      </c>
      <c r="C49" s="111" t="e">
        <f>#REF!</f>
        <v>#REF!</v>
      </c>
      <c r="D49" s="112" t="e">
        <f>#REF!</f>
        <v>#REF!</v>
      </c>
      <c r="E49" s="113" t="e">
        <f>#REF!</f>
        <v>#REF!</v>
      </c>
      <c r="F49" s="114" t="s">
        <v>129</v>
      </c>
      <c r="G49" s="119"/>
      <c r="H49" s="94" t="s">
        <v>229</v>
      </c>
      <c r="I49" s="120"/>
      <c r="J49" s="117" t="s">
        <v>129</v>
      </c>
      <c r="K49" s="824"/>
      <c r="L49" s="699"/>
    </row>
    <row r="50" spans="1:12" ht="49.5" customHeight="1" x14ac:dyDescent="0.25">
      <c r="A50" s="109">
        <f t="shared" si="0"/>
        <v>38</v>
      </c>
      <c r="B50" s="110" t="e">
        <f>#REF!</f>
        <v>#REF!</v>
      </c>
      <c r="C50" s="111" t="e">
        <f>#REF!</f>
        <v>#REF!</v>
      </c>
      <c r="D50" s="112" t="e">
        <f>#REF!</f>
        <v>#REF!</v>
      </c>
      <c r="E50" s="113" t="e">
        <f>#REF!</f>
        <v>#REF!</v>
      </c>
      <c r="F50" s="114" t="s">
        <v>230</v>
      </c>
      <c r="G50" s="119"/>
      <c r="H50" s="94" t="s">
        <v>231</v>
      </c>
      <c r="I50" s="120"/>
      <c r="J50" s="117" t="s">
        <v>230</v>
      </c>
      <c r="K50" s="824"/>
      <c r="L50" s="699"/>
    </row>
    <row r="51" spans="1:12" ht="49.5" customHeight="1" x14ac:dyDescent="0.25">
      <c r="A51" s="109">
        <f t="shared" si="0"/>
        <v>39</v>
      </c>
      <c r="B51" s="110" t="e">
        <f>#REF!</f>
        <v>#REF!</v>
      </c>
      <c r="C51" s="111" t="e">
        <f>#REF!</f>
        <v>#REF!</v>
      </c>
      <c r="D51" s="112" t="e">
        <f>#REF!</f>
        <v>#REF!</v>
      </c>
      <c r="E51" s="113" t="e">
        <f>#REF!</f>
        <v>#REF!</v>
      </c>
      <c r="F51" s="114" t="s">
        <v>129</v>
      </c>
      <c r="G51" s="119"/>
      <c r="H51" s="94" t="s">
        <v>232</v>
      </c>
      <c r="I51" s="120"/>
      <c r="J51" s="117" t="s">
        <v>129</v>
      </c>
      <c r="K51" s="824"/>
      <c r="L51" s="699"/>
    </row>
    <row r="52" spans="1:12" ht="49.5" customHeight="1" x14ac:dyDescent="0.25">
      <c r="A52" s="109">
        <f t="shared" si="0"/>
        <v>40</v>
      </c>
      <c r="B52" s="110" t="e">
        <f>#REF!</f>
        <v>#REF!</v>
      </c>
      <c r="C52" s="111" t="e">
        <f>#REF!</f>
        <v>#REF!</v>
      </c>
      <c r="D52" s="112" t="e">
        <f>#REF!</f>
        <v>#REF!</v>
      </c>
      <c r="E52" s="113" t="e">
        <f>#REF!</f>
        <v>#REF!</v>
      </c>
      <c r="F52" s="114" t="s">
        <v>230</v>
      </c>
      <c r="G52" s="119"/>
      <c r="H52" s="94" t="s">
        <v>233</v>
      </c>
      <c r="I52" s="120"/>
      <c r="J52" s="117" t="s">
        <v>230</v>
      </c>
      <c r="K52" s="824"/>
      <c r="L52" s="699"/>
    </row>
    <row r="53" spans="1:12" ht="49.5" customHeight="1" x14ac:dyDescent="0.25">
      <c r="A53" s="109">
        <f t="shared" si="0"/>
        <v>41</v>
      </c>
      <c r="B53" s="110" t="e">
        <f>#REF!</f>
        <v>#REF!</v>
      </c>
      <c r="C53" s="111" t="e">
        <f>#REF!</f>
        <v>#REF!</v>
      </c>
      <c r="D53" s="112" t="e">
        <f>#REF!</f>
        <v>#REF!</v>
      </c>
      <c r="E53" s="113" t="e">
        <f>#REF!</f>
        <v>#REF!</v>
      </c>
      <c r="F53" s="114" t="s">
        <v>129</v>
      </c>
      <c r="G53" s="121"/>
      <c r="H53" s="94" t="s">
        <v>234</v>
      </c>
      <c r="I53" s="120"/>
      <c r="J53" s="117" t="s">
        <v>129</v>
      </c>
      <c r="K53" s="824"/>
      <c r="L53" s="699"/>
    </row>
    <row r="54" spans="1:12" ht="49.5" customHeight="1" x14ac:dyDescent="0.25">
      <c r="A54" s="109">
        <f t="shared" si="0"/>
        <v>42</v>
      </c>
      <c r="B54" s="110" t="e">
        <f>#REF!</f>
        <v>#REF!</v>
      </c>
      <c r="C54" s="111" t="e">
        <f>#REF!</f>
        <v>#REF!</v>
      </c>
      <c r="D54" s="112" t="e">
        <f>#REF!</f>
        <v>#REF!</v>
      </c>
      <c r="E54" s="113" t="e">
        <f>#REF!</f>
        <v>#REF!</v>
      </c>
      <c r="F54" s="114" t="s">
        <v>230</v>
      </c>
      <c r="G54" s="119"/>
      <c r="H54" s="94" t="s">
        <v>235</v>
      </c>
      <c r="I54" s="120"/>
      <c r="J54" s="117" t="s">
        <v>230</v>
      </c>
      <c r="K54" s="824"/>
      <c r="L54" s="699"/>
    </row>
    <row r="55" spans="1:12" ht="49.5" customHeight="1" x14ac:dyDescent="0.25">
      <c r="A55" s="109">
        <f t="shared" si="0"/>
        <v>43</v>
      </c>
      <c r="B55" s="110" t="e">
        <f>#REF!</f>
        <v>#REF!</v>
      </c>
      <c r="C55" s="111" t="e">
        <f>#REF!</f>
        <v>#REF!</v>
      </c>
      <c r="D55" s="112" t="e">
        <f>#REF!</f>
        <v>#REF!</v>
      </c>
      <c r="E55" s="113" t="e">
        <f>#REF!</f>
        <v>#REF!</v>
      </c>
      <c r="F55" s="114" t="s">
        <v>129</v>
      </c>
      <c r="G55" s="119"/>
      <c r="H55" s="94" t="s">
        <v>236</v>
      </c>
      <c r="I55" s="120"/>
      <c r="J55" s="117" t="s">
        <v>129</v>
      </c>
      <c r="K55" s="824"/>
      <c r="L55" s="699"/>
    </row>
    <row r="56" spans="1:12" ht="49.5" customHeight="1" x14ac:dyDescent="0.25">
      <c r="A56" s="109">
        <f t="shared" si="0"/>
        <v>44</v>
      </c>
      <c r="B56" s="110" t="e">
        <f>#REF!</f>
        <v>#REF!</v>
      </c>
      <c r="C56" s="111" t="e">
        <f>#REF!</f>
        <v>#REF!</v>
      </c>
      <c r="D56" s="112" t="e">
        <f>#REF!</f>
        <v>#REF!</v>
      </c>
      <c r="E56" s="113" t="e">
        <f>#REF!</f>
        <v>#REF!</v>
      </c>
      <c r="F56" s="114" t="s">
        <v>230</v>
      </c>
      <c r="G56" s="119"/>
      <c r="H56" s="94" t="s">
        <v>237</v>
      </c>
      <c r="I56" s="120"/>
      <c r="J56" s="117" t="s">
        <v>230</v>
      </c>
      <c r="K56" s="824"/>
      <c r="L56" s="699"/>
    </row>
    <row r="57" spans="1:12" ht="49.5" customHeight="1" x14ac:dyDescent="0.25">
      <c r="A57" s="109">
        <f t="shared" si="0"/>
        <v>45</v>
      </c>
      <c r="B57" s="110" t="e">
        <f>#REF!</f>
        <v>#REF!</v>
      </c>
      <c r="C57" s="111" t="e">
        <f>#REF!</f>
        <v>#REF!</v>
      </c>
      <c r="D57" s="112" t="e">
        <f>#REF!</f>
        <v>#REF!</v>
      </c>
      <c r="E57" s="113" t="e">
        <f>#REF!</f>
        <v>#REF!</v>
      </c>
      <c r="F57" s="114" t="s">
        <v>129</v>
      </c>
      <c r="G57" s="119"/>
      <c r="H57" s="94" t="s">
        <v>238</v>
      </c>
      <c r="I57" s="120"/>
      <c r="J57" s="117" t="s">
        <v>129</v>
      </c>
      <c r="K57" s="824"/>
      <c r="L57" s="699"/>
    </row>
    <row r="58" spans="1:12" ht="49.5" customHeight="1" x14ac:dyDescent="0.25">
      <c r="A58" s="109">
        <f t="shared" si="0"/>
        <v>46</v>
      </c>
      <c r="B58" s="110" t="e">
        <f>#REF!</f>
        <v>#REF!</v>
      </c>
      <c r="C58" s="111" t="e">
        <f>#REF!</f>
        <v>#REF!</v>
      </c>
      <c r="D58" s="112" t="e">
        <f>#REF!</f>
        <v>#REF!</v>
      </c>
      <c r="E58" s="113" t="e">
        <f>#REF!</f>
        <v>#REF!</v>
      </c>
      <c r="F58" s="114" t="s">
        <v>230</v>
      </c>
      <c r="G58" s="119"/>
      <c r="H58" s="94" t="s">
        <v>229</v>
      </c>
      <c r="I58" s="120"/>
      <c r="J58" s="117" t="s">
        <v>230</v>
      </c>
      <c r="K58" s="824"/>
      <c r="L58" s="699"/>
    </row>
    <row r="59" spans="1:12" ht="49.5" customHeight="1" x14ac:dyDescent="0.25">
      <c r="A59" s="109">
        <f t="shared" si="0"/>
        <v>47</v>
      </c>
      <c r="B59" s="110" t="e">
        <f>#REF!</f>
        <v>#REF!</v>
      </c>
      <c r="C59" s="111" t="e">
        <f>#REF!</f>
        <v>#REF!</v>
      </c>
      <c r="D59" s="112" t="e">
        <f>#REF!</f>
        <v>#REF!</v>
      </c>
      <c r="E59" s="113" t="e">
        <f>#REF!</f>
        <v>#REF!</v>
      </c>
      <c r="F59" s="114" t="s">
        <v>129</v>
      </c>
      <c r="G59" s="119"/>
      <c r="H59" s="94" t="s">
        <v>229</v>
      </c>
      <c r="I59" s="120"/>
      <c r="J59" s="117" t="s">
        <v>129</v>
      </c>
      <c r="K59" s="824"/>
      <c r="L59" s="699"/>
    </row>
    <row r="60" spans="1:12" ht="49.5" customHeight="1" x14ac:dyDescent="0.25">
      <c r="A60" s="109">
        <f t="shared" si="0"/>
        <v>48</v>
      </c>
      <c r="B60" s="110" t="e">
        <f>#REF!</f>
        <v>#REF!</v>
      </c>
      <c r="C60" s="111" t="e">
        <f>#REF!</f>
        <v>#REF!</v>
      </c>
      <c r="D60" s="112" t="e">
        <f>#REF!</f>
        <v>#REF!</v>
      </c>
      <c r="E60" s="113" t="e">
        <f>#REF!</f>
        <v>#REF!</v>
      </c>
      <c r="F60" s="114" t="s">
        <v>230</v>
      </c>
      <c r="G60" s="119"/>
      <c r="H60" s="94" t="s">
        <v>231</v>
      </c>
      <c r="I60" s="120"/>
      <c r="J60" s="117" t="s">
        <v>230</v>
      </c>
      <c r="K60" s="824"/>
      <c r="L60" s="699"/>
    </row>
    <row r="61" spans="1:12" ht="49.5" customHeight="1" x14ac:dyDescent="0.25">
      <c r="A61" s="109">
        <f t="shared" si="0"/>
        <v>49</v>
      </c>
      <c r="B61" s="110" t="e">
        <f>#REF!</f>
        <v>#REF!</v>
      </c>
      <c r="C61" s="111" t="e">
        <f>#REF!</f>
        <v>#REF!</v>
      </c>
      <c r="D61" s="112" t="e">
        <f>#REF!</f>
        <v>#REF!</v>
      </c>
      <c r="E61" s="113" t="e">
        <f>#REF!</f>
        <v>#REF!</v>
      </c>
      <c r="F61" s="114" t="s">
        <v>129</v>
      </c>
      <c r="G61" s="119"/>
      <c r="H61" s="94" t="s">
        <v>229</v>
      </c>
      <c r="I61" s="120"/>
      <c r="J61" s="117" t="s">
        <v>230</v>
      </c>
      <c r="K61" s="824"/>
      <c r="L61" s="699"/>
    </row>
    <row r="62" spans="1:12" ht="49.5" customHeight="1" x14ac:dyDescent="0.25">
      <c r="A62" s="109">
        <f t="shared" si="0"/>
        <v>50</v>
      </c>
      <c r="B62" s="110" t="e">
        <f>#REF!</f>
        <v>#REF!</v>
      </c>
      <c r="C62" s="111" t="e">
        <f>#REF!</f>
        <v>#REF!</v>
      </c>
      <c r="D62" s="112" t="e">
        <f>#REF!</f>
        <v>#REF!</v>
      </c>
      <c r="E62" s="113" t="e">
        <f>#REF!</f>
        <v>#REF!</v>
      </c>
      <c r="F62" s="114" t="s">
        <v>230</v>
      </c>
      <c r="G62" s="119"/>
      <c r="H62" s="94" t="s">
        <v>231</v>
      </c>
      <c r="I62" s="120"/>
      <c r="J62" s="117" t="s">
        <v>230</v>
      </c>
      <c r="K62" s="824"/>
      <c r="L62" s="699"/>
    </row>
    <row r="63" spans="1:12" ht="15.75" customHeight="1" x14ac:dyDescent="0.25">
      <c r="A63" s="122"/>
      <c r="H63" s="123"/>
    </row>
    <row r="64" spans="1:12" ht="15.75" customHeight="1" x14ac:dyDescent="0.25">
      <c r="A64" s="122"/>
      <c r="H64" s="123"/>
    </row>
    <row r="65" spans="1:8" ht="15.75" customHeight="1" x14ac:dyDescent="0.25">
      <c r="A65" s="122"/>
      <c r="H65" s="123"/>
    </row>
    <row r="66" spans="1:8" ht="15.75" customHeight="1" x14ac:dyDescent="0.25">
      <c r="A66" s="122"/>
      <c r="H66" s="123"/>
    </row>
    <row r="67" spans="1:8" ht="15.75" customHeight="1" x14ac:dyDescent="0.25">
      <c r="A67" s="122"/>
      <c r="H67" s="123"/>
    </row>
    <row r="68" spans="1:8" ht="15.75" customHeight="1" x14ac:dyDescent="0.25">
      <c r="A68" s="122"/>
      <c r="H68" s="123"/>
    </row>
    <row r="69" spans="1:8" ht="15.75" customHeight="1" x14ac:dyDescent="0.25">
      <c r="H69" s="123"/>
    </row>
    <row r="70" spans="1:8" ht="15.75" customHeight="1" x14ac:dyDescent="0.25">
      <c r="H70" s="123"/>
    </row>
    <row r="71" spans="1:8" ht="15.75" customHeight="1" x14ac:dyDescent="0.25">
      <c r="H71" s="123"/>
    </row>
    <row r="72" spans="1:8" ht="15.75" customHeight="1" x14ac:dyDescent="0.25">
      <c r="H72" s="123"/>
    </row>
    <row r="73" spans="1:8" ht="15.75" customHeight="1" x14ac:dyDescent="0.25"/>
    <row r="74" spans="1:8" ht="15.75" customHeight="1" x14ac:dyDescent="0.25"/>
    <row r="75" spans="1:8" ht="15.75" customHeight="1" x14ac:dyDescent="0.25"/>
    <row r="76" spans="1:8" ht="15.75" customHeight="1" x14ac:dyDescent="0.25"/>
    <row r="77" spans="1:8" ht="15.75" customHeight="1" x14ac:dyDescent="0.25"/>
    <row r="78" spans="1:8" ht="15.75" customHeight="1" x14ac:dyDescent="0.25"/>
    <row r="79" spans="1:8" ht="15.75" customHeight="1" x14ac:dyDescent="0.25"/>
    <row r="80" spans="1:8"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1">
    <mergeCell ref="K36:L36"/>
    <mergeCell ref="K37:L37"/>
    <mergeCell ref="K38:L38"/>
    <mergeCell ref="K39:L39"/>
    <mergeCell ref="K40:L40"/>
    <mergeCell ref="K31:L31"/>
    <mergeCell ref="K32:L32"/>
    <mergeCell ref="K33:L33"/>
    <mergeCell ref="K34:L34"/>
    <mergeCell ref="K35:L35"/>
    <mergeCell ref="K26:L26"/>
    <mergeCell ref="K27:L27"/>
    <mergeCell ref="K28:L28"/>
    <mergeCell ref="K29:L29"/>
    <mergeCell ref="K30:L30"/>
    <mergeCell ref="K21:L21"/>
    <mergeCell ref="K22:L22"/>
    <mergeCell ref="K23:L23"/>
    <mergeCell ref="K24:L24"/>
    <mergeCell ref="K25:L25"/>
    <mergeCell ref="K16:L16"/>
    <mergeCell ref="K17:L17"/>
    <mergeCell ref="K18:L18"/>
    <mergeCell ref="K19:L19"/>
    <mergeCell ref="K20:L20"/>
    <mergeCell ref="A11:L11"/>
    <mergeCell ref="K12:L12"/>
    <mergeCell ref="K13:L13"/>
    <mergeCell ref="K14:L14"/>
    <mergeCell ref="K15:L15"/>
    <mergeCell ref="E8:H9"/>
    <mergeCell ref="I8:K8"/>
    <mergeCell ref="I9:K9"/>
    <mergeCell ref="A8:D9"/>
    <mergeCell ref="A10:D10"/>
    <mergeCell ref="E10:F10"/>
    <mergeCell ref="G10:H10"/>
    <mergeCell ref="I10:K10"/>
    <mergeCell ref="E6:H6"/>
    <mergeCell ref="I6:K6"/>
    <mergeCell ref="A6:D6"/>
    <mergeCell ref="A7:D7"/>
    <mergeCell ref="E7:H7"/>
    <mergeCell ref="I7:K7"/>
    <mergeCell ref="K1:L1"/>
    <mergeCell ref="A2:L2"/>
    <mergeCell ref="A3:L3"/>
    <mergeCell ref="A4:L4"/>
    <mergeCell ref="A5:L5"/>
    <mergeCell ref="K58:L58"/>
    <mergeCell ref="K59:L59"/>
    <mergeCell ref="K60:L60"/>
    <mergeCell ref="K61:L61"/>
    <mergeCell ref="K62:L62"/>
    <mergeCell ref="K46:L46"/>
    <mergeCell ref="K47:L47"/>
    <mergeCell ref="K55:L55"/>
    <mergeCell ref="K56:L56"/>
    <mergeCell ref="K57:L57"/>
    <mergeCell ref="K48:L48"/>
    <mergeCell ref="K49:L49"/>
    <mergeCell ref="K50:L50"/>
    <mergeCell ref="K51:L51"/>
    <mergeCell ref="K52:L52"/>
    <mergeCell ref="K53:L53"/>
    <mergeCell ref="K54:L54"/>
    <mergeCell ref="K41:L41"/>
    <mergeCell ref="K42:L42"/>
    <mergeCell ref="K43:L43"/>
    <mergeCell ref="K44:L44"/>
    <mergeCell ref="K45:L45"/>
  </mergeCells>
  <conditionalFormatting sqref="F13:F16 F19:F22">
    <cfRule type="expression" dxfId="31" priority="1">
      <formula>#REF!="YES"</formula>
    </cfRule>
  </conditionalFormatting>
  <conditionalFormatting sqref="F17:F18">
    <cfRule type="expression" dxfId="30" priority="2">
      <formula>#REF!="YES"</formula>
    </cfRule>
  </conditionalFormatting>
  <conditionalFormatting sqref="F23:F26 F29:F32">
    <cfRule type="expression" dxfId="29" priority="3">
      <formula>#REF!="YES"</formula>
    </cfRule>
  </conditionalFormatting>
  <conditionalFormatting sqref="F27:F28">
    <cfRule type="expression" dxfId="28" priority="4">
      <formula>#REF!="YES"</formula>
    </cfRule>
  </conditionalFormatting>
  <conditionalFormatting sqref="F33:F62">
    <cfRule type="expression" dxfId="27" priority="5">
      <formula>#REF!="YES"</formula>
    </cfRule>
  </conditionalFormatting>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900-000000000000}">
          <x14:formula1>
            <xm:f>'Pick List '!$K$106:$K$114</xm:f>
          </x14:formula1>
          <xm:sqref>H13:H72</xm:sqref>
        </x14:dataValidation>
        <x14:dataValidation type="list" allowBlank="1" showErrorMessage="1" xr:uid="{00000000-0002-0000-0900-000001000000}">
          <x14:formula1>
            <xm:f>'Pick List '!$P$123:$P$126</xm:f>
          </x14:formula1>
          <xm:sqref>K13:K62</xm:sqref>
        </x14:dataValidation>
        <x14:dataValidation type="list" allowBlank="1" showErrorMessage="1" xr:uid="{00000000-0002-0000-0900-000002000000}">
          <x14:formula1>
            <xm:f>'Pick List '!$G$15:$G$16</xm:f>
          </x14:formula1>
          <xm:sqref>F13:F62 J13:J62</xm:sqref>
        </x14:dataValidation>
        <x14:dataValidation type="list" allowBlank="1" showErrorMessage="1" xr:uid="{00000000-0002-0000-0900-000003000000}">
          <x14:formula1>
            <xm:f>'Pick List '!$P$130:$P$134</xm:f>
          </x14:formula1>
          <xm:sqref>I25:I62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33C0B"/>
  </sheetPr>
  <dimension ref="A1:BU1000"/>
  <sheetViews>
    <sheetView workbookViewId="0">
      <pane ySplit="1" topLeftCell="A2" activePane="bottomLeft" state="frozen"/>
      <selection pane="bottomLeft" activeCell="B3" sqref="B3"/>
    </sheetView>
  </sheetViews>
  <sheetFormatPr defaultColWidth="14.42578125" defaultRowHeight="15" customHeight="1" x14ac:dyDescent="0.25"/>
  <cols>
    <col min="1" max="1" width="5.28515625" customWidth="1"/>
    <col min="2" max="2" width="13.85546875" customWidth="1"/>
    <col min="3" max="3" width="11.28515625" customWidth="1"/>
    <col min="4" max="4" width="12.42578125" customWidth="1"/>
    <col min="5" max="5" width="12.7109375" customWidth="1"/>
    <col min="6" max="6" width="9.7109375" customWidth="1"/>
    <col min="7" max="16" width="12.7109375" customWidth="1"/>
    <col min="17" max="17" width="10" customWidth="1"/>
    <col min="18" max="22" width="12.7109375" customWidth="1"/>
    <col min="23" max="23" width="10.28515625" customWidth="1"/>
    <col min="24" max="39" width="12.7109375" customWidth="1"/>
    <col min="40" max="73" width="8.7109375" customWidth="1"/>
  </cols>
  <sheetData>
    <row r="1" spans="1:73" ht="60" customHeight="1" x14ac:dyDescent="0.25">
      <c r="A1" s="89" t="s">
        <v>27</v>
      </c>
      <c r="B1" s="124" t="s">
        <v>212</v>
      </c>
      <c r="C1" s="125" t="s">
        <v>213</v>
      </c>
      <c r="D1" s="124" t="s">
        <v>239</v>
      </c>
      <c r="E1" s="125" t="s">
        <v>240</v>
      </c>
      <c r="F1" s="126" t="s">
        <v>241</v>
      </c>
      <c r="G1" s="127" t="s">
        <v>242</v>
      </c>
      <c r="H1" s="128" t="s">
        <v>243</v>
      </c>
      <c r="I1" s="129" t="s">
        <v>244</v>
      </c>
      <c r="J1" s="130" t="s">
        <v>245</v>
      </c>
      <c r="K1" s="131" t="s">
        <v>246</v>
      </c>
      <c r="L1" s="132" t="s">
        <v>247</v>
      </c>
      <c r="M1" s="133" t="s">
        <v>248</v>
      </c>
      <c r="N1" s="134" t="s">
        <v>249</v>
      </c>
      <c r="O1" s="135" t="s">
        <v>250</v>
      </c>
      <c r="P1" s="136" t="s">
        <v>251</v>
      </c>
      <c r="Q1" s="137" t="s">
        <v>252</v>
      </c>
      <c r="R1" s="138" t="s">
        <v>253</v>
      </c>
      <c r="S1" s="139" t="s">
        <v>254</v>
      </c>
      <c r="T1" s="140" t="s">
        <v>255</v>
      </c>
      <c r="U1" s="141" t="s">
        <v>256</v>
      </c>
      <c r="V1" s="142" t="s">
        <v>257</v>
      </c>
      <c r="W1" s="137" t="s">
        <v>258</v>
      </c>
      <c r="X1" s="143" t="s">
        <v>259</v>
      </c>
      <c r="Y1" s="144" t="s">
        <v>260</v>
      </c>
      <c r="Z1" s="145" t="s">
        <v>261</v>
      </c>
      <c r="AA1" s="146" t="s">
        <v>262</v>
      </c>
      <c r="AB1" s="147" t="s">
        <v>263</v>
      </c>
      <c r="AC1" s="148" t="s">
        <v>264</v>
      </c>
      <c r="AD1" s="149" t="s">
        <v>265</v>
      </c>
      <c r="AE1" s="150" t="s">
        <v>266</v>
      </c>
      <c r="AF1" s="151" t="s">
        <v>267</v>
      </c>
      <c r="AG1" s="152" t="s">
        <v>268</v>
      </c>
      <c r="AH1" s="153" t="s">
        <v>269</v>
      </c>
      <c r="AI1" s="154" t="s">
        <v>270</v>
      </c>
      <c r="AJ1" s="153" t="s">
        <v>271</v>
      </c>
      <c r="AK1" s="155" t="s">
        <v>272</v>
      </c>
      <c r="AL1" s="156" t="s">
        <v>273</v>
      </c>
      <c r="AM1" s="157" t="s">
        <v>274</v>
      </c>
      <c r="AN1" s="158" t="s">
        <v>275</v>
      </c>
    </row>
    <row r="2" spans="1:73" ht="15.75" x14ac:dyDescent="0.25">
      <c r="AP2" s="785" t="str">
        <f>'BASE GRANTEE INFO &amp; UPDATES'!A1</f>
        <v>WV Bureau For Behavioral Health - Harm Reduction 2025</v>
      </c>
      <c r="AQ2" s="705"/>
      <c r="AR2" s="705"/>
      <c r="AS2" s="705"/>
      <c r="AT2" s="705"/>
      <c r="AU2" s="705"/>
      <c r="AV2" s="705"/>
      <c r="AW2" s="705"/>
      <c r="AX2" s="705"/>
      <c r="AY2" s="705"/>
      <c r="AZ2" s="705"/>
      <c r="BA2" s="705"/>
      <c r="BB2" s="705"/>
      <c r="BC2" s="833"/>
      <c r="BD2" s="159"/>
      <c r="BE2" s="160"/>
      <c r="BF2" s="160"/>
      <c r="BG2" s="160"/>
      <c r="BH2" s="161"/>
      <c r="BI2" s="161"/>
      <c r="BJ2" s="161"/>
      <c r="BK2" s="161"/>
      <c r="BL2" s="161"/>
      <c r="BM2" s="161"/>
      <c r="BN2" s="161"/>
      <c r="BO2" s="161"/>
      <c r="BP2" s="161"/>
      <c r="BQ2" s="161"/>
      <c r="BR2" s="161"/>
      <c r="BS2" s="161"/>
      <c r="BT2" s="161"/>
      <c r="BU2" s="161"/>
    </row>
    <row r="3" spans="1:73" ht="15.75" x14ac:dyDescent="0.25">
      <c r="AP3" s="786">
        <f>'BASE GRANTEE INFO &amp; UPDATES'!A2</f>
        <v>0</v>
      </c>
      <c r="AQ3" s="708"/>
      <c r="AR3" s="708"/>
      <c r="AS3" s="708"/>
      <c r="AT3" s="708"/>
      <c r="AU3" s="708"/>
      <c r="AV3" s="708"/>
      <c r="AW3" s="708"/>
      <c r="AX3" s="708"/>
      <c r="AY3" s="708"/>
      <c r="AZ3" s="708"/>
      <c r="BA3" s="708"/>
      <c r="BB3" s="708"/>
      <c r="BC3" s="709"/>
      <c r="BD3" s="162"/>
      <c r="BE3" s="163"/>
      <c r="BF3" s="163"/>
      <c r="BG3" s="163"/>
      <c r="BH3" s="164"/>
      <c r="BI3" s="164"/>
      <c r="BJ3" s="164"/>
      <c r="BK3" s="164"/>
      <c r="BL3" s="164"/>
      <c r="BM3" s="164"/>
      <c r="BN3" s="164"/>
      <c r="BO3" s="164"/>
      <c r="BP3" s="164"/>
      <c r="BQ3" s="164"/>
      <c r="BR3" s="164"/>
      <c r="BS3" s="164"/>
      <c r="BT3" s="164"/>
      <c r="BU3" s="164"/>
    </row>
    <row r="4" spans="1:73" ht="15.75" x14ac:dyDescent="0.25">
      <c r="AP4" s="826" t="str">
        <f>'BASE GRANTEE INFO &amp; UPDATES'!A3</f>
        <v xml:space="preserve">Program reports need to be submitted electronically, via e-mail to BBHReporting@wv.gov  within 25 calendar days of the end of each month </v>
      </c>
      <c r="AQ4" s="711"/>
      <c r="AR4" s="711"/>
      <c r="AS4" s="711"/>
      <c r="AT4" s="711"/>
      <c r="AU4" s="711"/>
      <c r="AV4" s="711"/>
      <c r="AW4" s="711"/>
      <c r="AX4" s="711"/>
      <c r="AY4" s="711"/>
      <c r="AZ4" s="711"/>
      <c r="BA4" s="711"/>
      <c r="BB4" s="711"/>
      <c r="BC4" s="757"/>
      <c r="BD4" s="165"/>
      <c r="BE4" s="166"/>
      <c r="BF4" s="166"/>
      <c r="BG4" s="166"/>
      <c r="BH4" s="164"/>
      <c r="BI4" s="164"/>
      <c r="BJ4" s="164"/>
      <c r="BK4" s="164"/>
      <c r="BL4" s="164"/>
      <c r="BM4" s="164"/>
      <c r="BN4" s="164"/>
      <c r="BO4" s="164"/>
      <c r="BP4" s="164"/>
      <c r="BQ4" s="164"/>
      <c r="BR4" s="164"/>
      <c r="BS4" s="164"/>
      <c r="BT4" s="164"/>
      <c r="BU4" s="164"/>
    </row>
    <row r="5" spans="1:73" ht="18.75" x14ac:dyDescent="0.25">
      <c r="AP5" s="834" t="s">
        <v>276</v>
      </c>
      <c r="AQ5" s="698"/>
      <c r="AR5" s="698"/>
      <c r="AS5" s="698"/>
      <c r="AT5" s="698"/>
      <c r="AU5" s="698"/>
      <c r="AV5" s="698"/>
      <c r="AW5" s="698"/>
      <c r="AX5" s="698"/>
      <c r="AY5" s="698"/>
      <c r="AZ5" s="698"/>
      <c r="BA5" s="698"/>
      <c r="BB5" s="698"/>
      <c r="BC5" s="714"/>
      <c r="BD5" s="167"/>
      <c r="BE5" s="168"/>
      <c r="BF5" s="168"/>
      <c r="BG5" s="168"/>
      <c r="BH5" s="164"/>
      <c r="BI5" s="164"/>
      <c r="BJ5" s="164"/>
      <c r="BK5" s="164"/>
      <c r="BL5" s="164"/>
      <c r="BM5" s="164"/>
      <c r="BN5" s="164"/>
      <c r="BO5" s="164"/>
      <c r="BP5" s="164"/>
      <c r="BQ5" s="164"/>
      <c r="BR5" s="164"/>
      <c r="BS5" s="164"/>
      <c r="BT5" s="164"/>
      <c r="BU5" s="164"/>
    </row>
    <row r="6" spans="1:73" ht="19.5" customHeight="1" x14ac:dyDescent="0.25">
      <c r="AP6" s="790" t="s">
        <v>277</v>
      </c>
      <c r="AQ6" s="698"/>
      <c r="AR6" s="698"/>
      <c r="AS6" s="699"/>
      <c r="AT6" s="794" t="str">
        <f>'BASE GRANTEE INFO &amp; UPDATES'!E5</f>
        <v>Harm Reduction Program</v>
      </c>
      <c r="AU6" s="698"/>
      <c r="AV6" s="698"/>
      <c r="AW6" s="699"/>
      <c r="AX6" s="795" t="s">
        <v>0</v>
      </c>
      <c r="AY6" s="698"/>
      <c r="AZ6" s="714"/>
      <c r="BA6" s="832">
        <f>'BASE GRANTEE INFO &amp; UPDATES'!M5</f>
        <v>0</v>
      </c>
      <c r="BB6" s="698"/>
      <c r="BC6" s="714"/>
      <c r="BD6" s="98"/>
      <c r="BE6" s="99"/>
      <c r="BF6" s="99"/>
      <c r="BG6" s="99"/>
      <c r="BH6" s="164"/>
      <c r="BI6" s="164"/>
      <c r="BJ6" s="164"/>
      <c r="BK6" s="164"/>
      <c r="BL6" s="164"/>
      <c r="BM6" s="164"/>
      <c r="BN6" s="164"/>
      <c r="BO6" s="164"/>
      <c r="BP6" s="164"/>
      <c r="BQ6" s="164"/>
      <c r="BR6" s="164"/>
      <c r="BS6" s="164"/>
      <c r="BT6" s="164"/>
      <c r="BU6" s="164"/>
    </row>
    <row r="7" spans="1:73" ht="19.5" customHeight="1" x14ac:dyDescent="0.25">
      <c r="AP7" s="790" t="s">
        <v>278</v>
      </c>
      <c r="AQ7" s="698"/>
      <c r="AR7" s="698"/>
      <c r="AS7" s="699"/>
      <c r="AT7" s="797">
        <f>'BASE GRANTEE INFO &amp; UPDATES'!E6</f>
        <v>0</v>
      </c>
      <c r="AU7" s="698"/>
      <c r="AV7" s="698"/>
      <c r="AW7" s="699"/>
      <c r="AX7" s="795" t="s">
        <v>1</v>
      </c>
      <c r="AY7" s="698"/>
      <c r="AZ7" s="714"/>
      <c r="BA7" s="832">
        <f>'BASE GRANTEE INFO &amp; UPDATES'!M6</f>
        <v>0</v>
      </c>
      <c r="BB7" s="698"/>
      <c r="BC7" s="714"/>
      <c r="BD7" s="98"/>
      <c r="BE7" s="99"/>
      <c r="BF7" s="99"/>
      <c r="BG7" s="99"/>
      <c r="BH7" s="164"/>
      <c r="BI7" s="164"/>
      <c r="BJ7" s="164"/>
      <c r="BK7" s="164"/>
      <c r="BL7" s="164"/>
      <c r="BM7" s="164"/>
      <c r="BN7" s="164"/>
      <c r="BO7" s="164"/>
      <c r="BP7" s="164"/>
      <c r="BQ7" s="164"/>
      <c r="BR7" s="164"/>
      <c r="BS7" s="164"/>
      <c r="BT7" s="164"/>
      <c r="BU7" s="164"/>
    </row>
    <row r="8" spans="1:73" ht="19.5" customHeight="1" x14ac:dyDescent="0.25">
      <c r="AP8" s="789" t="s">
        <v>2</v>
      </c>
      <c r="AQ8" s="766"/>
      <c r="AR8" s="766"/>
      <c r="AS8" s="767"/>
      <c r="AT8" s="798">
        <f>'BASE GRANTEE INFO &amp; UPDATES'!E7</f>
        <v>0</v>
      </c>
      <c r="AU8" s="766"/>
      <c r="AV8" s="766"/>
      <c r="AW8" s="767"/>
      <c r="AX8" s="795" t="s">
        <v>3</v>
      </c>
      <c r="AY8" s="698"/>
      <c r="AZ8" s="714"/>
      <c r="BA8" s="832">
        <f>'BASE GRANTEE INFO &amp; UPDATES'!M7</f>
        <v>0</v>
      </c>
      <c r="BB8" s="698"/>
      <c r="BC8" s="714"/>
      <c r="BD8" s="98"/>
      <c r="BE8" s="99"/>
      <c r="BF8" s="99"/>
      <c r="BG8" s="99"/>
      <c r="BH8" s="164"/>
      <c r="BI8" s="164"/>
      <c r="BJ8" s="164"/>
      <c r="BK8" s="164"/>
      <c r="BL8" s="164"/>
      <c r="BM8" s="164"/>
      <c r="BN8" s="164"/>
      <c r="BO8" s="164"/>
      <c r="BP8" s="164"/>
      <c r="BQ8" s="164"/>
      <c r="BR8" s="164"/>
      <c r="BS8" s="164"/>
      <c r="BT8" s="164"/>
      <c r="BU8" s="164"/>
    </row>
    <row r="9" spans="1:73" ht="19.5" customHeight="1" x14ac:dyDescent="0.25">
      <c r="AP9" s="768"/>
      <c r="AQ9" s="769"/>
      <c r="AR9" s="769"/>
      <c r="AS9" s="770"/>
      <c r="AT9" s="768"/>
      <c r="AU9" s="769"/>
      <c r="AV9" s="769"/>
      <c r="AW9" s="770"/>
      <c r="AX9" s="792" t="s">
        <v>279</v>
      </c>
      <c r="AY9" s="698"/>
      <c r="AZ9" s="714"/>
      <c r="BA9" s="832">
        <f>'BASE GRANTEE INFO &amp; UPDATES'!M8</f>
        <v>0</v>
      </c>
      <c r="BB9" s="698"/>
      <c r="BC9" s="714"/>
      <c r="BD9" s="98"/>
      <c r="BE9" s="99"/>
      <c r="BF9" s="99"/>
      <c r="BG9" s="99"/>
      <c r="BH9" s="164"/>
      <c r="BI9" s="164"/>
      <c r="BJ9" s="164"/>
      <c r="BK9" s="164"/>
      <c r="BL9" s="164"/>
      <c r="BM9" s="164"/>
      <c r="BN9" s="164"/>
      <c r="BO9" s="164"/>
      <c r="BP9" s="164"/>
      <c r="BQ9" s="164"/>
      <c r="BR9" s="164"/>
      <c r="BS9" s="164"/>
      <c r="BT9" s="164"/>
      <c r="BU9" s="164"/>
    </row>
    <row r="10" spans="1:73" ht="19.5" customHeight="1" x14ac:dyDescent="0.25">
      <c r="AP10" s="790" t="s">
        <v>280</v>
      </c>
      <c r="AQ10" s="698"/>
      <c r="AR10" s="698"/>
      <c r="AS10" s="699"/>
      <c r="AT10" s="791" t="str">
        <f>'BASE GRANTEE INFO &amp; UPDATES'!E9</f>
        <v>September 1 - 30</v>
      </c>
      <c r="AU10" s="699"/>
      <c r="AV10" s="791">
        <f>'BASE GRANTEE INFO &amp; UPDATES'!G9</f>
        <v>2024</v>
      </c>
      <c r="AW10" s="699"/>
      <c r="AX10" s="792" t="s">
        <v>281</v>
      </c>
      <c r="AY10" s="698"/>
      <c r="AZ10" s="714"/>
      <c r="BA10" s="832">
        <f>'BASE GRANTEE INFO &amp; UPDATES'!M9</f>
        <v>0</v>
      </c>
      <c r="BB10" s="698"/>
      <c r="BC10" s="714"/>
      <c r="BD10" s="98"/>
      <c r="BE10" s="99"/>
      <c r="BF10" s="99"/>
      <c r="BG10" s="99"/>
      <c r="BH10" s="164"/>
      <c r="BI10" s="164"/>
      <c r="BJ10" s="164"/>
      <c r="BK10" s="164"/>
      <c r="BL10" s="164"/>
      <c r="BM10" s="164"/>
      <c r="BN10" s="164"/>
      <c r="BO10" s="164"/>
      <c r="BP10" s="164"/>
      <c r="BQ10" s="164"/>
      <c r="BR10" s="164"/>
      <c r="BS10" s="164"/>
      <c r="BT10" s="164"/>
      <c r="BU10" s="164"/>
    </row>
    <row r="11" spans="1:73" ht="18.75" x14ac:dyDescent="0.25">
      <c r="AP11" s="834" t="s">
        <v>282</v>
      </c>
      <c r="AQ11" s="698"/>
      <c r="AR11" s="698"/>
      <c r="AS11" s="698"/>
      <c r="AT11" s="698"/>
      <c r="AU11" s="698"/>
      <c r="AV11" s="698"/>
      <c r="AW11" s="698"/>
      <c r="AX11" s="698"/>
      <c r="AY11" s="698"/>
      <c r="AZ11" s="698"/>
      <c r="BA11" s="698"/>
      <c r="BB11" s="698"/>
      <c r="BC11" s="714"/>
      <c r="BD11" s="169"/>
      <c r="BE11" s="170"/>
      <c r="BF11" s="170"/>
      <c r="BG11" s="170"/>
      <c r="BH11" s="171"/>
      <c r="BI11" s="171"/>
      <c r="BJ11" s="171"/>
      <c r="BK11" s="171"/>
      <c r="BL11" s="171"/>
      <c r="BM11" s="171"/>
      <c r="BN11" s="171"/>
      <c r="BO11" s="171"/>
      <c r="BP11" s="171"/>
      <c r="BQ11" s="171"/>
      <c r="BR11" s="171"/>
      <c r="BS11" s="171"/>
      <c r="BT11" s="171"/>
      <c r="BU11" s="171"/>
    </row>
    <row r="12" spans="1:73" ht="60" customHeight="1" x14ac:dyDescent="0.25">
      <c r="A12" s="89" t="s">
        <v>27</v>
      </c>
      <c r="B12" s="124" t="s">
        <v>212</v>
      </c>
      <c r="C12" s="125" t="s">
        <v>213</v>
      </c>
      <c r="D12" s="124" t="s">
        <v>239</v>
      </c>
      <c r="E12" s="125" t="s">
        <v>240</v>
      </c>
      <c r="F12" s="137" t="s">
        <v>241</v>
      </c>
      <c r="G12" s="127" t="s">
        <v>283</v>
      </c>
      <c r="H12" s="128" t="s">
        <v>243</v>
      </c>
      <c r="I12" s="129" t="s">
        <v>244</v>
      </c>
      <c r="J12" s="130" t="s">
        <v>245</v>
      </c>
      <c r="K12" s="131" t="s">
        <v>246</v>
      </c>
      <c r="L12" s="132" t="s">
        <v>247</v>
      </c>
      <c r="M12" s="133" t="s">
        <v>248</v>
      </c>
      <c r="N12" s="134" t="s">
        <v>249</v>
      </c>
      <c r="O12" s="172" t="s">
        <v>250</v>
      </c>
      <c r="P12" s="173" t="s">
        <v>284</v>
      </c>
      <c r="Q12" s="126" t="s">
        <v>252</v>
      </c>
      <c r="R12" s="174" t="s">
        <v>253</v>
      </c>
      <c r="S12" s="175" t="s">
        <v>254</v>
      </c>
      <c r="T12" s="176" t="s">
        <v>255</v>
      </c>
      <c r="U12" s="177" t="s">
        <v>256</v>
      </c>
      <c r="V12" s="178" t="s">
        <v>285</v>
      </c>
      <c r="W12" s="137" t="s">
        <v>258</v>
      </c>
      <c r="X12" s="179" t="s">
        <v>259</v>
      </c>
      <c r="Y12" s="180" t="s">
        <v>260</v>
      </c>
      <c r="Z12" s="181" t="s">
        <v>261</v>
      </c>
      <c r="AA12" s="182" t="s">
        <v>262</v>
      </c>
      <c r="AB12" s="183" t="s">
        <v>263</v>
      </c>
      <c r="AC12" s="184" t="s">
        <v>264</v>
      </c>
      <c r="AD12" s="185" t="s">
        <v>265</v>
      </c>
      <c r="AE12" s="186" t="s">
        <v>266</v>
      </c>
      <c r="AF12" s="187" t="s">
        <v>267</v>
      </c>
      <c r="AG12" s="188" t="s">
        <v>268</v>
      </c>
      <c r="AH12" s="189" t="s">
        <v>269</v>
      </c>
      <c r="AI12" s="190" t="s">
        <v>270</v>
      </c>
      <c r="AJ12" s="189" t="s">
        <v>271</v>
      </c>
      <c r="AK12" s="191" t="s">
        <v>272</v>
      </c>
      <c r="AL12" s="192" t="s">
        <v>273</v>
      </c>
      <c r="AM12" s="193" t="s">
        <v>274</v>
      </c>
      <c r="AN12" s="194" t="s">
        <v>275</v>
      </c>
    </row>
    <row r="13" spans="1:73" ht="39.75" customHeight="1" x14ac:dyDescent="0.25">
      <c r="A13" s="195">
        <f>ROW(A1)</f>
        <v>1</v>
      </c>
      <c r="B13" s="110" t="e">
        <f>#REF!</f>
        <v>#REF!</v>
      </c>
      <c r="C13" s="111" t="e">
        <f>#REF!</f>
        <v>#REF!</v>
      </c>
      <c r="D13" s="112" t="e">
        <f>#REF!</f>
        <v>#REF!</v>
      </c>
      <c r="E13" s="113" t="e">
        <f>#REF!</f>
        <v>#REF!</v>
      </c>
      <c r="F13" s="196" t="s">
        <v>129</v>
      </c>
      <c r="G13" s="197" t="e">
        <f t="shared" ref="G13:G62" si="0">E13+30</f>
        <v>#REF!</v>
      </c>
      <c r="H13" s="198" t="s">
        <v>129</v>
      </c>
      <c r="I13" s="199" t="s">
        <v>129</v>
      </c>
      <c r="J13" s="200" t="s">
        <v>129</v>
      </c>
      <c r="K13" s="201" t="s">
        <v>12</v>
      </c>
      <c r="L13" s="202" t="e">
        <f t="shared" ref="L13:L62" si="1">E13+60</f>
        <v>#REF!</v>
      </c>
      <c r="M13" s="203" t="s">
        <v>129</v>
      </c>
      <c r="N13" s="204" t="s">
        <v>129</v>
      </c>
      <c r="O13" s="205" t="s">
        <v>129</v>
      </c>
      <c r="P13" s="206" t="s">
        <v>12</v>
      </c>
      <c r="Q13" s="196" t="s">
        <v>129</v>
      </c>
      <c r="R13" s="207" t="e">
        <f t="shared" ref="R13:R62" si="2">E13+90</f>
        <v>#REF!</v>
      </c>
      <c r="S13" s="208" t="s">
        <v>129</v>
      </c>
      <c r="T13" s="209" t="s">
        <v>129</v>
      </c>
      <c r="U13" s="210" t="s">
        <v>129</v>
      </c>
      <c r="V13" s="211" t="s">
        <v>12</v>
      </c>
      <c r="W13" s="196" t="s">
        <v>129</v>
      </c>
      <c r="X13" s="212" t="e">
        <f t="shared" ref="X13:X62" si="3">E13+183</f>
        <v>#REF!</v>
      </c>
      <c r="Y13" s="213" t="s">
        <v>129</v>
      </c>
      <c r="Z13" s="214" t="s">
        <v>129</v>
      </c>
      <c r="AA13" s="78" t="s">
        <v>129</v>
      </c>
      <c r="AB13" s="215" t="s">
        <v>12</v>
      </c>
      <c r="AC13" s="216" t="e">
        <f t="shared" ref="AC13:AC62" si="4">E13+365</f>
        <v>#REF!</v>
      </c>
      <c r="AD13" s="198" t="s">
        <v>129</v>
      </c>
      <c r="AE13" s="217" t="s">
        <v>129</v>
      </c>
      <c r="AF13" s="200" t="s">
        <v>129</v>
      </c>
      <c r="AG13" s="218" t="s">
        <v>12</v>
      </c>
      <c r="AH13" s="219">
        <v>44803</v>
      </c>
      <c r="AI13" s="220" t="s">
        <v>129</v>
      </c>
      <c r="AJ13" s="221" t="s">
        <v>129</v>
      </c>
      <c r="AK13" s="222" t="s">
        <v>129</v>
      </c>
      <c r="AL13" s="223" t="s">
        <v>12</v>
      </c>
      <c r="AM13" s="224" t="e">
        <f t="shared" ref="AM13:AM62" si="5">AH13-E13</f>
        <v>#REF!</v>
      </c>
      <c r="AN13" s="196" t="s">
        <v>129</v>
      </c>
    </row>
    <row r="14" spans="1:73" ht="39.75" customHeight="1" x14ac:dyDescent="0.25">
      <c r="A14" s="195">
        <f t="shared" ref="A14:A23" si="6">ROW(AP2)</f>
        <v>2</v>
      </c>
      <c r="B14" s="110" t="e">
        <f>#REF!</f>
        <v>#REF!</v>
      </c>
      <c r="C14" s="111" t="e">
        <f>#REF!</f>
        <v>#REF!</v>
      </c>
      <c r="D14" s="112" t="e">
        <f>#REF!</f>
        <v>#REF!</v>
      </c>
      <c r="E14" s="113" t="e">
        <f>#REF!</f>
        <v>#REF!</v>
      </c>
      <c r="F14" s="196" t="s">
        <v>230</v>
      </c>
      <c r="G14" s="197" t="e">
        <f t="shared" si="0"/>
        <v>#REF!</v>
      </c>
      <c r="H14" s="198" t="s">
        <v>230</v>
      </c>
      <c r="I14" s="199" t="s">
        <v>230</v>
      </c>
      <c r="J14" s="200" t="s">
        <v>230</v>
      </c>
      <c r="K14" s="201" t="s">
        <v>12</v>
      </c>
      <c r="L14" s="202" t="e">
        <f t="shared" si="1"/>
        <v>#REF!</v>
      </c>
      <c r="M14" s="203" t="s">
        <v>230</v>
      </c>
      <c r="N14" s="204" t="s">
        <v>230</v>
      </c>
      <c r="O14" s="205" t="s">
        <v>230</v>
      </c>
      <c r="P14" s="206" t="s">
        <v>12</v>
      </c>
      <c r="Q14" s="196" t="s">
        <v>230</v>
      </c>
      <c r="R14" s="207" t="e">
        <f t="shared" si="2"/>
        <v>#REF!</v>
      </c>
      <c r="S14" s="208" t="s">
        <v>230</v>
      </c>
      <c r="T14" s="209" t="s">
        <v>230</v>
      </c>
      <c r="U14" s="210" t="s">
        <v>230</v>
      </c>
      <c r="V14" s="211" t="s">
        <v>12</v>
      </c>
      <c r="W14" s="196" t="s">
        <v>230</v>
      </c>
      <c r="X14" s="212" t="e">
        <f t="shared" si="3"/>
        <v>#REF!</v>
      </c>
      <c r="Y14" s="213" t="s">
        <v>230</v>
      </c>
      <c r="Z14" s="214" t="s">
        <v>230</v>
      </c>
      <c r="AA14" s="78" t="s">
        <v>230</v>
      </c>
      <c r="AB14" s="215" t="s">
        <v>12</v>
      </c>
      <c r="AC14" s="216" t="e">
        <f t="shared" si="4"/>
        <v>#REF!</v>
      </c>
      <c r="AD14" s="198" t="s">
        <v>230</v>
      </c>
      <c r="AE14" s="217" t="s">
        <v>230</v>
      </c>
      <c r="AF14" s="200" t="s">
        <v>230</v>
      </c>
      <c r="AG14" s="218" t="s">
        <v>12</v>
      </c>
      <c r="AH14" s="219">
        <v>44803</v>
      </c>
      <c r="AI14" s="220" t="s">
        <v>230</v>
      </c>
      <c r="AJ14" s="221" t="s">
        <v>230</v>
      </c>
      <c r="AK14" s="222" t="s">
        <v>230</v>
      </c>
      <c r="AL14" s="223" t="s">
        <v>12</v>
      </c>
      <c r="AM14" s="224" t="e">
        <f t="shared" si="5"/>
        <v>#REF!</v>
      </c>
      <c r="AN14" s="196" t="s">
        <v>230</v>
      </c>
    </row>
    <row r="15" spans="1:73" ht="39.75" customHeight="1" x14ac:dyDescent="0.25">
      <c r="A15" s="195">
        <f t="shared" si="6"/>
        <v>3</v>
      </c>
      <c r="B15" s="110" t="e">
        <f>#REF!</f>
        <v>#REF!</v>
      </c>
      <c r="C15" s="111" t="e">
        <f>#REF!</f>
        <v>#REF!</v>
      </c>
      <c r="D15" s="112" t="e">
        <f>#REF!</f>
        <v>#REF!</v>
      </c>
      <c r="E15" s="113" t="e">
        <f>#REF!</f>
        <v>#REF!</v>
      </c>
      <c r="F15" s="196" t="s">
        <v>129</v>
      </c>
      <c r="G15" s="197" t="e">
        <f t="shared" si="0"/>
        <v>#REF!</v>
      </c>
      <c r="H15" s="198" t="s">
        <v>129</v>
      </c>
      <c r="I15" s="199" t="s">
        <v>129</v>
      </c>
      <c r="J15" s="200" t="s">
        <v>129</v>
      </c>
      <c r="K15" s="201" t="s">
        <v>12</v>
      </c>
      <c r="L15" s="202" t="e">
        <f t="shared" si="1"/>
        <v>#REF!</v>
      </c>
      <c r="M15" s="203" t="s">
        <v>129</v>
      </c>
      <c r="N15" s="204" t="s">
        <v>129</v>
      </c>
      <c r="O15" s="205" t="s">
        <v>129</v>
      </c>
      <c r="P15" s="206" t="s">
        <v>12</v>
      </c>
      <c r="Q15" s="196" t="s">
        <v>129</v>
      </c>
      <c r="R15" s="207" t="e">
        <f t="shared" si="2"/>
        <v>#REF!</v>
      </c>
      <c r="S15" s="208" t="s">
        <v>129</v>
      </c>
      <c r="T15" s="209" t="s">
        <v>129</v>
      </c>
      <c r="U15" s="210" t="s">
        <v>129</v>
      </c>
      <c r="V15" s="211" t="s">
        <v>12</v>
      </c>
      <c r="W15" s="196" t="s">
        <v>129</v>
      </c>
      <c r="X15" s="212" t="e">
        <f t="shared" si="3"/>
        <v>#REF!</v>
      </c>
      <c r="Y15" s="213" t="s">
        <v>129</v>
      </c>
      <c r="Z15" s="214" t="s">
        <v>129</v>
      </c>
      <c r="AA15" s="78" t="s">
        <v>129</v>
      </c>
      <c r="AB15" s="215" t="s">
        <v>12</v>
      </c>
      <c r="AC15" s="216" t="e">
        <f t="shared" si="4"/>
        <v>#REF!</v>
      </c>
      <c r="AD15" s="198" t="s">
        <v>129</v>
      </c>
      <c r="AE15" s="217" t="s">
        <v>129</v>
      </c>
      <c r="AF15" s="200" t="s">
        <v>129</v>
      </c>
      <c r="AG15" s="218" t="s">
        <v>12</v>
      </c>
      <c r="AH15" s="219">
        <v>44803</v>
      </c>
      <c r="AI15" s="220" t="s">
        <v>129</v>
      </c>
      <c r="AJ15" s="221" t="s">
        <v>129</v>
      </c>
      <c r="AK15" s="222" t="s">
        <v>129</v>
      </c>
      <c r="AL15" s="223" t="s">
        <v>12</v>
      </c>
      <c r="AM15" s="224" t="e">
        <f t="shared" si="5"/>
        <v>#REF!</v>
      </c>
      <c r="AN15" s="196" t="s">
        <v>129</v>
      </c>
    </row>
    <row r="16" spans="1:73" ht="39.75" customHeight="1" x14ac:dyDescent="0.25">
      <c r="A16" s="195">
        <f t="shared" si="6"/>
        <v>4</v>
      </c>
      <c r="B16" s="110" t="e">
        <f>#REF!</f>
        <v>#REF!</v>
      </c>
      <c r="C16" s="111" t="e">
        <f>#REF!</f>
        <v>#REF!</v>
      </c>
      <c r="D16" s="112" t="e">
        <f>#REF!</f>
        <v>#REF!</v>
      </c>
      <c r="E16" s="113" t="e">
        <f>#REF!</f>
        <v>#REF!</v>
      </c>
      <c r="F16" s="196" t="s">
        <v>230</v>
      </c>
      <c r="G16" s="197" t="e">
        <f t="shared" si="0"/>
        <v>#REF!</v>
      </c>
      <c r="H16" s="198" t="s">
        <v>230</v>
      </c>
      <c r="I16" s="199" t="s">
        <v>230</v>
      </c>
      <c r="J16" s="200" t="s">
        <v>230</v>
      </c>
      <c r="K16" s="201" t="s">
        <v>12</v>
      </c>
      <c r="L16" s="202" t="e">
        <f t="shared" si="1"/>
        <v>#REF!</v>
      </c>
      <c r="M16" s="203" t="s">
        <v>230</v>
      </c>
      <c r="N16" s="204" t="s">
        <v>230</v>
      </c>
      <c r="O16" s="205" t="s">
        <v>230</v>
      </c>
      <c r="P16" s="206" t="s">
        <v>12</v>
      </c>
      <c r="Q16" s="196" t="s">
        <v>230</v>
      </c>
      <c r="R16" s="207" t="e">
        <f t="shared" si="2"/>
        <v>#REF!</v>
      </c>
      <c r="S16" s="208" t="s">
        <v>230</v>
      </c>
      <c r="T16" s="209" t="s">
        <v>230</v>
      </c>
      <c r="U16" s="210" t="s">
        <v>230</v>
      </c>
      <c r="V16" s="211" t="s">
        <v>12</v>
      </c>
      <c r="W16" s="196" t="s">
        <v>230</v>
      </c>
      <c r="X16" s="212" t="e">
        <f t="shared" si="3"/>
        <v>#REF!</v>
      </c>
      <c r="Y16" s="213" t="s">
        <v>230</v>
      </c>
      <c r="Z16" s="214" t="s">
        <v>230</v>
      </c>
      <c r="AA16" s="78" t="s">
        <v>230</v>
      </c>
      <c r="AB16" s="215" t="s">
        <v>12</v>
      </c>
      <c r="AC16" s="216" t="e">
        <f t="shared" si="4"/>
        <v>#REF!</v>
      </c>
      <c r="AD16" s="198" t="s">
        <v>230</v>
      </c>
      <c r="AE16" s="217" t="s">
        <v>230</v>
      </c>
      <c r="AF16" s="200" t="s">
        <v>230</v>
      </c>
      <c r="AG16" s="218" t="s">
        <v>12</v>
      </c>
      <c r="AH16" s="219">
        <v>44803</v>
      </c>
      <c r="AI16" s="220" t="s">
        <v>230</v>
      </c>
      <c r="AJ16" s="221" t="s">
        <v>230</v>
      </c>
      <c r="AK16" s="222" t="s">
        <v>230</v>
      </c>
      <c r="AL16" s="223" t="s">
        <v>12</v>
      </c>
      <c r="AM16" s="224" t="e">
        <f t="shared" si="5"/>
        <v>#REF!</v>
      </c>
      <c r="AN16" s="196" t="s">
        <v>230</v>
      </c>
    </row>
    <row r="17" spans="1:40" ht="39.75" customHeight="1" x14ac:dyDescent="0.25">
      <c r="A17" s="195">
        <f t="shared" si="6"/>
        <v>5</v>
      </c>
      <c r="B17" s="110" t="e">
        <f>#REF!</f>
        <v>#REF!</v>
      </c>
      <c r="C17" s="111" t="e">
        <f>#REF!</f>
        <v>#REF!</v>
      </c>
      <c r="D17" s="112" t="e">
        <f>#REF!</f>
        <v>#REF!</v>
      </c>
      <c r="E17" s="113" t="e">
        <f>#REF!</f>
        <v>#REF!</v>
      </c>
      <c r="F17" s="196" t="s">
        <v>129</v>
      </c>
      <c r="G17" s="197" t="e">
        <f t="shared" si="0"/>
        <v>#REF!</v>
      </c>
      <c r="H17" s="198" t="s">
        <v>129</v>
      </c>
      <c r="I17" s="199" t="s">
        <v>129</v>
      </c>
      <c r="J17" s="200" t="s">
        <v>129</v>
      </c>
      <c r="K17" s="201" t="s">
        <v>12</v>
      </c>
      <c r="L17" s="202" t="e">
        <f t="shared" si="1"/>
        <v>#REF!</v>
      </c>
      <c r="M17" s="203" t="s">
        <v>129</v>
      </c>
      <c r="N17" s="204" t="s">
        <v>129</v>
      </c>
      <c r="O17" s="205" t="s">
        <v>129</v>
      </c>
      <c r="P17" s="206" t="s">
        <v>12</v>
      </c>
      <c r="Q17" s="196" t="s">
        <v>129</v>
      </c>
      <c r="R17" s="207" t="e">
        <f t="shared" si="2"/>
        <v>#REF!</v>
      </c>
      <c r="S17" s="208" t="s">
        <v>129</v>
      </c>
      <c r="T17" s="209" t="s">
        <v>129</v>
      </c>
      <c r="U17" s="210" t="s">
        <v>129</v>
      </c>
      <c r="V17" s="211" t="s">
        <v>12</v>
      </c>
      <c r="W17" s="196" t="s">
        <v>129</v>
      </c>
      <c r="X17" s="212" t="e">
        <f t="shared" si="3"/>
        <v>#REF!</v>
      </c>
      <c r="Y17" s="213" t="s">
        <v>129</v>
      </c>
      <c r="Z17" s="214" t="s">
        <v>129</v>
      </c>
      <c r="AA17" s="78" t="s">
        <v>129</v>
      </c>
      <c r="AB17" s="215" t="s">
        <v>12</v>
      </c>
      <c r="AC17" s="216" t="e">
        <f t="shared" si="4"/>
        <v>#REF!</v>
      </c>
      <c r="AD17" s="198" t="s">
        <v>129</v>
      </c>
      <c r="AE17" s="217" t="s">
        <v>129</v>
      </c>
      <c r="AF17" s="200" t="s">
        <v>129</v>
      </c>
      <c r="AG17" s="218" t="s">
        <v>12</v>
      </c>
      <c r="AH17" s="219">
        <v>44803</v>
      </c>
      <c r="AI17" s="220" t="s">
        <v>129</v>
      </c>
      <c r="AJ17" s="221" t="s">
        <v>129</v>
      </c>
      <c r="AK17" s="222" t="s">
        <v>129</v>
      </c>
      <c r="AL17" s="223" t="s">
        <v>12</v>
      </c>
      <c r="AM17" s="224" t="e">
        <f t="shared" si="5"/>
        <v>#REF!</v>
      </c>
      <c r="AN17" s="196" t="s">
        <v>129</v>
      </c>
    </row>
    <row r="18" spans="1:40" ht="39.75" customHeight="1" x14ac:dyDescent="0.25">
      <c r="A18" s="195">
        <f t="shared" si="6"/>
        <v>6</v>
      </c>
      <c r="B18" s="110" t="e">
        <f>#REF!</f>
        <v>#REF!</v>
      </c>
      <c r="C18" s="111" t="e">
        <f>#REF!</f>
        <v>#REF!</v>
      </c>
      <c r="D18" s="112" t="e">
        <f>#REF!</f>
        <v>#REF!</v>
      </c>
      <c r="E18" s="113" t="e">
        <f>#REF!</f>
        <v>#REF!</v>
      </c>
      <c r="F18" s="196" t="s">
        <v>230</v>
      </c>
      <c r="G18" s="197" t="e">
        <f t="shared" si="0"/>
        <v>#REF!</v>
      </c>
      <c r="H18" s="198" t="s">
        <v>230</v>
      </c>
      <c r="I18" s="199" t="s">
        <v>230</v>
      </c>
      <c r="J18" s="200" t="s">
        <v>230</v>
      </c>
      <c r="K18" s="201" t="s">
        <v>12</v>
      </c>
      <c r="L18" s="202" t="e">
        <f t="shared" si="1"/>
        <v>#REF!</v>
      </c>
      <c r="M18" s="203" t="s">
        <v>230</v>
      </c>
      <c r="N18" s="204" t="s">
        <v>230</v>
      </c>
      <c r="O18" s="205" t="s">
        <v>230</v>
      </c>
      <c r="P18" s="206" t="s">
        <v>12</v>
      </c>
      <c r="Q18" s="196" t="s">
        <v>230</v>
      </c>
      <c r="R18" s="207" t="e">
        <f t="shared" si="2"/>
        <v>#REF!</v>
      </c>
      <c r="S18" s="208" t="s">
        <v>230</v>
      </c>
      <c r="T18" s="209" t="s">
        <v>230</v>
      </c>
      <c r="U18" s="210" t="s">
        <v>230</v>
      </c>
      <c r="V18" s="211" t="s">
        <v>12</v>
      </c>
      <c r="W18" s="196" t="s">
        <v>230</v>
      </c>
      <c r="X18" s="212" t="e">
        <f t="shared" si="3"/>
        <v>#REF!</v>
      </c>
      <c r="Y18" s="213" t="s">
        <v>230</v>
      </c>
      <c r="Z18" s="214" t="s">
        <v>230</v>
      </c>
      <c r="AA18" s="78" t="s">
        <v>230</v>
      </c>
      <c r="AB18" s="215" t="s">
        <v>12</v>
      </c>
      <c r="AC18" s="216" t="e">
        <f t="shared" si="4"/>
        <v>#REF!</v>
      </c>
      <c r="AD18" s="198" t="s">
        <v>230</v>
      </c>
      <c r="AE18" s="217" t="s">
        <v>230</v>
      </c>
      <c r="AF18" s="200" t="s">
        <v>230</v>
      </c>
      <c r="AG18" s="218" t="s">
        <v>12</v>
      </c>
      <c r="AH18" s="219">
        <v>44803</v>
      </c>
      <c r="AI18" s="220" t="s">
        <v>230</v>
      </c>
      <c r="AJ18" s="221" t="s">
        <v>230</v>
      </c>
      <c r="AK18" s="222" t="s">
        <v>230</v>
      </c>
      <c r="AL18" s="223" t="s">
        <v>12</v>
      </c>
      <c r="AM18" s="224" t="e">
        <f t="shared" si="5"/>
        <v>#REF!</v>
      </c>
      <c r="AN18" s="196" t="s">
        <v>230</v>
      </c>
    </row>
    <row r="19" spans="1:40" ht="39.75" customHeight="1" x14ac:dyDescent="0.25">
      <c r="A19" s="195">
        <f t="shared" si="6"/>
        <v>7</v>
      </c>
      <c r="B19" s="110" t="e">
        <f>#REF!</f>
        <v>#REF!</v>
      </c>
      <c r="C19" s="111" t="e">
        <f>#REF!</f>
        <v>#REF!</v>
      </c>
      <c r="D19" s="112" t="e">
        <f>#REF!</f>
        <v>#REF!</v>
      </c>
      <c r="E19" s="113" t="e">
        <f>#REF!</f>
        <v>#REF!</v>
      </c>
      <c r="F19" s="196" t="s">
        <v>129</v>
      </c>
      <c r="G19" s="197" t="e">
        <f t="shared" si="0"/>
        <v>#REF!</v>
      </c>
      <c r="H19" s="198" t="s">
        <v>129</v>
      </c>
      <c r="I19" s="199" t="s">
        <v>129</v>
      </c>
      <c r="J19" s="200" t="s">
        <v>129</v>
      </c>
      <c r="K19" s="201" t="s">
        <v>12</v>
      </c>
      <c r="L19" s="202" t="e">
        <f t="shared" si="1"/>
        <v>#REF!</v>
      </c>
      <c r="M19" s="203" t="s">
        <v>129</v>
      </c>
      <c r="N19" s="204" t="s">
        <v>129</v>
      </c>
      <c r="O19" s="205" t="s">
        <v>129</v>
      </c>
      <c r="P19" s="206" t="s">
        <v>12</v>
      </c>
      <c r="Q19" s="196" t="s">
        <v>129</v>
      </c>
      <c r="R19" s="207" t="e">
        <f t="shared" si="2"/>
        <v>#REF!</v>
      </c>
      <c r="S19" s="208" t="s">
        <v>129</v>
      </c>
      <c r="T19" s="209" t="s">
        <v>129</v>
      </c>
      <c r="U19" s="210" t="s">
        <v>129</v>
      </c>
      <c r="V19" s="211" t="s">
        <v>12</v>
      </c>
      <c r="W19" s="196" t="s">
        <v>129</v>
      </c>
      <c r="X19" s="212" t="e">
        <f t="shared" si="3"/>
        <v>#REF!</v>
      </c>
      <c r="Y19" s="213" t="s">
        <v>129</v>
      </c>
      <c r="Z19" s="214" t="s">
        <v>129</v>
      </c>
      <c r="AA19" s="78" t="s">
        <v>129</v>
      </c>
      <c r="AB19" s="215" t="s">
        <v>12</v>
      </c>
      <c r="AC19" s="216" t="e">
        <f t="shared" si="4"/>
        <v>#REF!</v>
      </c>
      <c r="AD19" s="198" t="s">
        <v>129</v>
      </c>
      <c r="AE19" s="217" t="s">
        <v>129</v>
      </c>
      <c r="AF19" s="200" t="s">
        <v>129</v>
      </c>
      <c r="AG19" s="218" t="s">
        <v>12</v>
      </c>
      <c r="AH19" s="219">
        <v>44803</v>
      </c>
      <c r="AI19" s="220" t="s">
        <v>129</v>
      </c>
      <c r="AJ19" s="221" t="s">
        <v>129</v>
      </c>
      <c r="AK19" s="222" t="s">
        <v>129</v>
      </c>
      <c r="AL19" s="223" t="s">
        <v>12</v>
      </c>
      <c r="AM19" s="224" t="e">
        <f t="shared" si="5"/>
        <v>#REF!</v>
      </c>
      <c r="AN19" s="196" t="s">
        <v>129</v>
      </c>
    </row>
    <row r="20" spans="1:40" ht="39.75" customHeight="1" x14ac:dyDescent="0.25">
      <c r="A20" s="195">
        <f t="shared" si="6"/>
        <v>8</v>
      </c>
      <c r="B20" s="110" t="e">
        <f>#REF!</f>
        <v>#REF!</v>
      </c>
      <c r="C20" s="111" t="e">
        <f>#REF!</f>
        <v>#REF!</v>
      </c>
      <c r="D20" s="112" t="e">
        <f>#REF!</f>
        <v>#REF!</v>
      </c>
      <c r="E20" s="113" t="e">
        <f>#REF!</f>
        <v>#REF!</v>
      </c>
      <c r="F20" s="196" t="s">
        <v>230</v>
      </c>
      <c r="G20" s="197" t="e">
        <f t="shared" si="0"/>
        <v>#REF!</v>
      </c>
      <c r="H20" s="198" t="s">
        <v>230</v>
      </c>
      <c r="I20" s="199" t="s">
        <v>230</v>
      </c>
      <c r="J20" s="200" t="s">
        <v>230</v>
      </c>
      <c r="K20" s="201" t="s">
        <v>12</v>
      </c>
      <c r="L20" s="202" t="e">
        <f t="shared" si="1"/>
        <v>#REF!</v>
      </c>
      <c r="M20" s="203" t="s">
        <v>230</v>
      </c>
      <c r="N20" s="204" t="s">
        <v>230</v>
      </c>
      <c r="O20" s="205" t="s">
        <v>230</v>
      </c>
      <c r="P20" s="206" t="s">
        <v>12</v>
      </c>
      <c r="Q20" s="196" t="s">
        <v>230</v>
      </c>
      <c r="R20" s="207" t="e">
        <f t="shared" si="2"/>
        <v>#REF!</v>
      </c>
      <c r="S20" s="208" t="s">
        <v>230</v>
      </c>
      <c r="T20" s="209" t="s">
        <v>230</v>
      </c>
      <c r="U20" s="210" t="s">
        <v>230</v>
      </c>
      <c r="V20" s="211" t="s">
        <v>12</v>
      </c>
      <c r="W20" s="196" t="s">
        <v>230</v>
      </c>
      <c r="X20" s="212" t="e">
        <f t="shared" si="3"/>
        <v>#REF!</v>
      </c>
      <c r="Y20" s="213" t="s">
        <v>230</v>
      </c>
      <c r="Z20" s="214" t="s">
        <v>230</v>
      </c>
      <c r="AA20" s="78" t="s">
        <v>230</v>
      </c>
      <c r="AB20" s="215" t="s">
        <v>12</v>
      </c>
      <c r="AC20" s="216" t="e">
        <f t="shared" si="4"/>
        <v>#REF!</v>
      </c>
      <c r="AD20" s="198" t="s">
        <v>230</v>
      </c>
      <c r="AE20" s="217" t="s">
        <v>230</v>
      </c>
      <c r="AF20" s="200" t="s">
        <v>230</v>
      </c>
      <c r="AG20" s="218" t="s">
        <v>12</v>
      </c>
      <c r="AH20" s="219">
        <v>44803</v>
      </c>
      <c r="AI20" s="220" t="s">
        <v>230</v>
      </c>
      <c r="AJ20" s="221" t="s">
        <v>230</v>
      </c>
      <c r="AK20" s="222" t="s">
        <v>230</v>
      </c>
      <c r="AL20" s="223" t="s">
        <v>12</v>
      </c>
      <c r="AM20" s="224" t="e">
        <f t="shared" si="5"/>
        <v>#REF!</v>
      </c>
      <c r="AN20" s="196" t="s">
        <v>230</v>
      </c>
    </row>
    <row r="21" spans="1:40" ht="39.75" customHeight="1" x14ac:dyDescent="0.25">
      <c r="A21" s="195">
        <f t="shared" si="6"/>
        <v>9</v>
      </c>
      <c r="B21" s="110" t="e">
        <f>#REF!</f>
        <v>#REF!</v>
      </c>
      <c r="C21" s="111" t="e">
        <f>#REF!</f>
        <v>#REF!</v>
      </c>
      <c r="D21" s="112" t="e">
        <f>#REF!</f>
        <v>#REF!</v>
      </c>
      <c r="E21" s="113" t="e">
        <f>#REF!</f>
        <v>#REF!</v>
      </c>
      <c r="F21" s="196" t="s">
        <v>129</v>
      </c>
      <c r="G21" s="197" t="e">
        <f t="shared" si="0"/>
        <v>#REF!</v>
      </c>
      <c r="H21" s="198" t="s">
        <v>129</v>
      </c>
      <c r="I21" s="199" t="s">
        <v>129</v>
      </c>
      <c r="J21" s="200" t="s">
        <v>129</v>
      </c>
      <c r="K21" s="201" t="s">
        <v>12</v>
      </c>
      <c r="L21" s="202" t="e">
        <f t="shared" si="1"/>
        <v>#REF!</v>
      </c>
      <c r="M21" s="203" t="s">
        <v>129</v>
      </c>
      <c r="N21" s="204" t="s">
        <v>129</v>
      </c>
      <c r="O21" s="205" t="s">
        <v>129</v>
      </c>
      <c r="P21" s="206" t="s">
        <v>12</v>
      </c>
      <c r="Q21" s="196" t="s">
        <v>129</v>
      </c>
      <c r="R21" s="207" t="e">
        <f t="shared" si="2"/>
        <v>#REF!</v>
      </c>
      <c r="S21" s="208" t="s">
        <v>129</v>
      </c>
      <c r="T21" s="209" t="s">
        <v>129</v>
      </c>
      <c r="U21" s="210" t="s">
        <v>129</v>
      </c>
      <c r="V21" s="211" t="s">
        <v>12</v>
      </c>
      <c r="W21" s="196" t="s">
        <v>129</v>
      </c>
      <c r="X21" s="212" t="e">
        <f t="shared" si="3"/>
        <v>#REF!</v>
      </c>
      <c r="Y21" s="213" t="s">
        <v>129</v>
      </c>
      <c r="Z21" s="214" t="s">
        <v>129</v>
      </c>
      <c r="AA21" s="78" t="s">
        <v>129</v>
      </c>
      <c r="AB21" s="215" t="s">
        <v>12</v>
      </c>
      <c r="AC21" s="216" t="e">
        <f t="shared" si="4"/>
        <v>#REF!</v>
      </c>
      <c r="AD21" s="198" t="s">
        <v>129</v>
      </c>
      <c r="AE21" s="217" t="s">
        <v>129</v>
      </c>
      <c r="AF21" s="200" t="s">
        <v>129</v>
      </c>
      <c r="AG21" s="218" t="s">
        <v>12</v>
      </c>
      <c r="AH21" s="219">
        <v>44803</v>
      </c>
      <c r="AI21" s="220" t="s">
        <v>129</v>
      </c>
      <c r="AJ21" s="221" t="s">
        <v>129</v>
      </c>
      <c r="AK21" s="222" t="s">
        <v>129</v>
      </c>
      <c r="AL21" s="223" t="s">
        <v>12</v>
      </c>
      <c r="AM21" s="224" t="e">
        <f t="shared" si="5"/>
        <v>#REF!</v>
      </c>
      <c r="AN21" s="196" t="s">
        <v>129</v>
      </c>
    </row>
    <row r="22" spans="1:40" ht="39.75" customHeight="1" x14ac:dyDescent="0.25">
      <c r="A22" s="195">
        <f t="shared" si="6"/>
        <v>10</v>
      </c>
      <c r="B22" s="110" t="e">
        <f>#REF!</f>
        <v>#REF!</v>
      </c>
      <c r="C22" s="111" t="e">
        <f>#REF!</f>
        <v>#REF!</v>
      </c>
      <c r="D22" s="112" t="e">
        <f>#REF!</f>
        <v>#REF!</v>
      </c>
      <c r="E22" s="113" t="e">
        <f>#REF!</f>
        <v>#REF!</v>
      </c>
      <c r="F22" s="196" t="s">
        <v>230</v>
      </c>
      <c r="G22" s="197" t="e">
        <f t="shared" si="0"/>
        <v>#REF!</v>
      </c>
      <c r="H22" s="198" t="s">
        <v>230</v>
      </c>
      <c r="I22" s="199" t="s">
        <v>230</v>
      </c>
      <c r="J22" s="200" t="s">
        <v>230</v>
      </c>
      <c r="K22" s="201" t="s">
        <v>12</v>
      </c>
      <c r="L22" s="202" t="e">
        <f t="shared" si="1"/>
        <v>#REF!</v>
      </c>
      <c r="M22" s="203" t="s">
        <v>230</v>
      </c>
      <c r="N22" s="204" t="s">
        <v>230</v>
      </c>
      <c r="O22" s="205" t="s">
        <v>230</v>
      </c>
      <c r="P22" s="206" t="s">
        <v>12</v>
      </c>
      <c r="Q22" s="196" t="s">
        <v>230</v>
      </c>
      <c r="R22" s="207" t="e">
        <f t="shared" si="2"/>
        <v>#REF!</v>
      </c>
      <c r="S22" s="208" t="s">
        <v>230</v>
      </c>
      <c r="T22" s="209" t="s">
        <v>230</v>
      </c>
      <c r="U22" s="210" t="s">
        <v>230</v>
      </c>
      <c r="V22" s="211" t="s">
        <v>12</v>
      </c>
      <c r="W22" s="196" t="s">
        <v>230</v>
      </c>
      <c r="X22" s="212" t="e">
        <f t="shared" si="3"/>
        <v>#REF!</v>
      </c>
      <c r="Y22" s="213" t="s">
        <v>230</v>
      </c>
      <c r="Z22" s="214" t="s">
        <v>230</v>
      </c>
      <c r="AA22" s="78" t="s">
        <v>230</v>
      </c>
      <c r="AB22" s="215" t="s">
        <v>12</v>
      </c>
      <c r="AC22" s="216" t="e">
        <f t="shared" si="4"/>
        <v>#REF!</v>
      </c>
      <c r="AD22" s="198" t="s">
        <v>230</v>
      </c>
      <c r="AE22" s="217" t="s">
        <v>230</v>
      </c>
      <c r="AF22" s="200" t="s">
        <v>230</v>
      </c>
      <c r="AG22" s="218" t="s">
        <v>12</v>
      </c>
      <c r="AH22" s="219">
        <v>44803</v>
      </c>
      <c r="AI22" s="220" t="s">
        <v>230</v>
      </c>
      <c r="AJ22" s="221" t="s">
        <v>230</v>
      </c>
      <c r="AK22" s="222" t="s">
        <v>230</v>
      </c>
      <c r="AL22" s="223" t="s">
        <v>12</v>
      </c>
      <c r="AM22" s="224" t="e">
        <f t="shared" si="5"/>
        <v>#REF!</v>
      </c>
      <c r="AN22" s="196" t="s">
        <v>230</v>
      </c>
    </row>
    <row r="23" spans="1:40" ht="39.75" customHeight="1" x14ac:dyDescent="0.25">
      <c r="A23" s="195">
        <f t="shared" si="6"/>
        <v>11</v>
      </c>
      <c r="B23" s="110" t="e">
        <f>#REF!</f>
        <v>#REF!</v>
      </c>
      <c r="C23" s="111" t="e">
        <f>#REF!</f>
        <v>#REF!</v>
      </c>
      <c r="D23" s="112" t="e">
        <f>#REF!</f>
        <v>#REF!</v>
      </c>
      <c r="E23" s="113" t="e">
        <f>#REF!</f>
        <v>#REF!</v>
      </c>
      <c r="F23" s="196" t="s">
        <v>129</v>
      </c>
      <c r="G23" s="197" t="e">
        <f t="shared" si="0"/>
        <v>#REF!</v>
      </c>
      <c r="H23" s="198" t="s">
        <v>129</v>
      </c>
      <c r="I23" s="199" t="s">
        <v>129</v>
      </c>
      <c r="J23" s="200" t="s">
        <v>129</v>
      </c>
      <c r="K23" s="201" t="s">
        <v>12</v>
      </c>
      <c r="L23" s="202" t="e">
        <f t="shared" si="1"/>
        <v>#REF!</v>
      </c>
      <c r="M23" s="203" t="s">
        <v>129</v>
      </c>
      <c r="N23" s="204" t="s">
        <v>129</v>
      </c>
      <c r="O23" s="205" t="s">
        <v>129</v>
      </c>
      <c r="P23" s="206" t="s">
        <v>12</v>
      </c>
      <c r="Q23" s="196" t="s">
        <v>129</v>
      </c>
      <c r="R23" s="207" t="e">
        <f t="shared" si="2"/>
        <v>#REF!</v>
      </c>
      <c r="S23" s="208" t="s">
        <v>129</v>
      </c>
      <c r="T23" s="209" t="s">
        <v>129</v>
      </c>
      <c r="U23" s="210" t="s">
        <v>129</v>
      </c>
      <c r="V23" s="211" t="s">
        <v>12</v>
      </c>
      <c r="W23" s="196" t="s">
        <v>129</v>
      </c>
      <c r="X23" s="212" t="e">
        <f t="shared" si="3"/>
        <v>#REF!</v>
      </c>
      <c r="Y23" s="213" t="s">
        <v>129</v>
      </c>
      <c r="Z23" s="214" t="s">
        <v>129</v>
      </c>
      <c r="AA23" s="78" t="s">
        <v>129</v>
      </c>
      <c r="AB23" s="215" t="s">
        <v>12</v>
      </c>
      <c r="AC23" s="216" t="e">
        <f t="shared" si="4"/>
        <v>#REF!</v>
      </c>
      <c r="AD23" s="198" t="s">
        <v>129</v>
      </c>
      <c r="AE23" s="217" t="s">
        <v>129</v>
      </c>
      <c r="AF23" s="200" t="s">
        <v>129</v>
      </c>
      <c r="AG23" s="218" t="s">
        <v>12</v>
      </c>
      <c r="AH23" s="219">
        <v>44803</v>
      </c>
      <c r="AI23" s="220" t="s">
        <v>129</v>
      </c>
      <c r="AJ23" s="221" t="s">
        <v>129</v>
      </c>
      <c r="AK23" s="222" t="s">
        <v>129</v>
      </c>
      <c r="AL23" s="223" t="s">
        <v>12</v>
      </c>
      <c r="AM23" s="224" t="e">
        <f t="shared" si="5"/>
        <v>#REF!</v>
      </c>
      <c r="AN23" s="196" t="s">
        <v>129</v>
      </c>
    </row>
    <row r="24" spans="1:40" ht="39.75" customHeight="1" x14ac:dyDescent="0.25">
      <c r="A24" s="195">
        <f t="shared" ref="A24:A62" si="7">ROW(A12)</f>
        <v>12</v>
      </c>
      <c r="B24" s="110" t="e">
        <f>#REF!</f>
        <v>#REF!</v>
      </c>
      <c r="C24" s="111" t="e">
        <f>#REF!</f>
        <v>#REF!</v>
      </c>
      <c r="D24" s="112" t="e">
        <f>#REF!</f>
        <v>#REF!</v>
      </c>
      <c r="E24" s="113" t="e">
        <f>#REF!</f>
        <v>#REF!</v>
      </c>
      <c r="F24" s="196" t="s">
        <v>230</v>
      </c>
      <c r="G24" s="197" t="e">
        <f t="shared" si="0"/>
        <v>#REF!</v>
      </c>
      <c r="H24" s="198" t="s">
        <v>230</v>
      </c>
      <c r="I24" s="199" t="s">
        <v>230</v>
      </c>
      <c r="J24" s="200" t="s">
        <v>230</v>
      </c>
      <c r="K24" s="201" t="s">
        <v>12</v>
      </c>
      <c r="L24" s="202" t="e">
        <f t="shared" si="1"/>
        <v>#REF!</v>
      </c>
      <c r="M24" s="203" t="s">
        <v>230</v>
      </c>
      <c r="N24" s="204" t="s">
        <v>230</v>
      </c>
      <c r="O24" s="205" t="s">
        <v>230</v>
      </c>
      <c r="P24" s="206" t="s">
        <v>12</v>
      </c>
      <c r="Q24" s="196" t="s">
        <v>230</v>
      </c>
      <c r="R24" s="207" t="e">
        <f t="shared" si="2"/>
        <v>#REF!</v>
      </c>
      <c r="S24" s="208" t="s">
        <v>230</v>
      </c>
      <c r="T24" s="209" t="s">
        <v>230</v>
      </c>
      <c r="U24" s="210" t="s">
        <v>230</v>
      </c>
      <c r="V24" s="211" t="s">
        <v>12</v>
      </c>
      <c r="W24" s="196" t="s">
        <v>230</v>
      </c>
      <c r="X24" s="212" t="e">
        <f t="shared" si="3"/>
        <v>#REF!</v>
      </c>
      <c r="Y24" s="213" t="s">
        <v>230</v>
      </c>
      <c r="Z24" s="214" t="s">
        <v>230</v>
      </c>
      <c r="AA24" s="78" t="s">
        <v>230</v>
      </c>
      <c r="AB24" s="215" t="s">
        <v>12</v>
      </c>
      <c r="AC24" s="216" t="e">
        <f t="shared" si="4"/>
        <v>#REF!</v>
      </c>
      <c r="AD24" s="198" t="s">
        <v>230</v>
      </c>
      <c r="AE24" s="217" t="s">
        <v>230</v>
      </c>
      <c r="AF24" s="200" t="s">
        <v>230</v>
      </c>
      <c r="AG24" s="218" t="s">
        <v>12</v>
      </c>
      <c r="AH24" s="219">
        <v>44803</v>
      </c>
      <c r="AI24" s="220" t="s">
        <v>230</v>
      </c>
      <c r="AJ24" s="221" t="s">
        <v>230</v>
      </c>
      <c r="AK24" s="222" t="s">
        <v>230</v>
      </c>
      <c r="AL24" s="223" t="s">
        <v>12</v>
      </c>
      <c r="AM24" s="224" t="e">
        <f t="shared" si="5"/>
        <v>#REF!</v>
      </c>
      <c r="AN24" s="196" t="s">
        <v>230</v>
      </c>
    </row>
    <row r="25" spans="1:40" ht="39.75" customHeight="1" x14ac:dyDescent="0.25">
      <c r="A25" s="195">
        <f t="shared" si="7"/>
        <v>13</v>
      </c>
      <c r="B25" s="110" t="e">
        <f>#REF!</f>
        <v>#REF!</v>
      </c>
      <c r="C25" s="111" t="e">
        <f>#REF!</f>
        <v>#REF!</v>
      </c>
      <c r="D25" s="112" t="e">
        <f>#REF!</f>
        <v>#REF!</v>
      </c>
      <c r="E25" s="113" t="e">
        <f>#REF!</f>
        <v>#REF!</v>
      </c>
      <c r="F25" s="196" t="s">
        <v>129</v>
      </c>
      <c r="G25" s="197" t="e">
        <f t="shared" si="0"/>
        <v>#REF!</v>
      </c>
      <c r="H25" s="198" t="s">
        <v>129</v>
      </c>
      <c r="I25" s="199" t="s">
        <v>129</v>
      </c>
      <c r="J25" s="200" t="s">
        <v>129</v>
      </c>
      <c r="K25" s="201" t="s">
        <v>12</v>
      </c>
      <c r="L25" s="202" t="e">
        <f t="shared" si="1"/>
        <v>#REF!</v>
      </c>
      <c r="M25" s="203" t="s">
        <v>129</v>
      </c>
      <c r="N25" s="204" t="s">
        <v>129</v>
      </c>
      <c r="O25" s="205" t="s">
        <v>129</v>
      </c>
      <c r="P25" s="206" t="s">
        <v>12</v>
      </c>
      <c r="Q25" s="196" t="s">
        <v>129</v>
      </c>
      <c r="R25" s="207" t="e">
        <f t="shared" si="2"/>
        <v>#REF!</v>
      </c>
      <c r="S25" s="208" t="s">
        <v>129</v>
      </c>
      <c r="T25" s="209" t="s">
        <v>129</v>
      </c>
      <c r="U25" s="210" t="s">
        <v>129</v>
      </c>
      <c r="V25" s="211" t="s">
        <v>12</v>
      </c>
      <c r="W25" s="196" t="s">
        <v>129</v>
      </c>
      <c r="X25" s="212" t="e">
        <f t="shared" si="3"/>
        <v>#REF!</v>
      </c>
      <c r="Y25" s="213" t="s">
        <v>129</v>
      </c>
      <c r="Z25" s="214" t="s">
        <v>129</v>
      </c>
      <c r="AA25" s="78" t="s">
        <v>129</v>
      </c>
      <c r="AB25" s="215" t="s">
        <v>12</v>
      </c>
      <c r="AC25" s="216" t="e">
        <f t="shared" si="4"/>
        <v>#REF!</v>
      </c>
      <c r="AD25" s="198" t="s">
        <v>129</v>
      </c>
      <c r="AE25" s="217" t="s">
        <v>129</v>
      </c>
      <c r="AF25" s="200" t="s">
        <v>129</v>
      </c>
      <c r="AG25" s="218" t="s">
        <v>12</v>
      </c>
      <c r="AH25" s="219">
        <v>44803</v>
      </c>
      <c r="AI25" s="220" t="s">
        <v>129</v>
      </c>
      <c r="AJ25" s="221" t="s">
        <v>129</v>
      </c>
      <c r="AK25" s="222" t="s">
        <v>129</v>
      </c>
      <c r="AL25" s="223" t="s">
        <v>12</v>
      </c>
      <c r="AM25" s="224" t="e">
        <f t="shared" si="5"/>
        <v>#REF!</v>
      </c>
      <c r="AN25" s="196" t="s">
        <v>129</v>
      </c>
    </row>
    <row r="26" spans="1:40" ht="39.75" customHeight="1" x14ac:dyDescent="0.25">
      <c r="A26" s="195">
        <f t="shared" si="7"/>
        <v>14</v>
      </c>
      <c r="B26" s="110" t="e">
        <f>#REF!</f>
        <v>#REF!</v>
      </c>
      <c r="C26" s="111" t="e">
        <f>#REF!</f>
        <v>#REF!</v>
      </c>
      <c r="D26" s="112" t="e">
        <f>#REF!</f>
        <v>#REF!</v>
      </c>
      <c r="E26" s="113" t="e">
        <f>#REF!</f>
        <v>#REF!</v>
      </c>
      <c r="F26" s="196" t="s">
        <v>230</v>
      </c>
      <c r="G26" s="197" t="e">
        <f t="shared" si="0"/>
        <v>#REF!</v>
      </c>
      <c r="H26" s="198" t="s">
        <v>230</v>
      </c>
      <c r="I26" s="199" t="s">
        <v>230</v>
      </c>
      <c r="J26" s="200" t="s">
        <v>230</v>
      </c>
      <c r="K26" s="201" t="s">
        <v>12</v>
      </c>
      <c r="L26" s="202" t="e">
        <f t="shared" si="1"/>
        <v>#REF!</v>
      </c>
      <c r="M26" s="203" t="s">
        <v>230</v>
      </c>
      <c r="N26" s="204" t="s">
        <v>230</v>
      </c>
      <c r="O26" s="205" t="s">
        <v>230</v>
      </c>
      <c r="P26" s="206" t="s">
        <v>12</v>
      </c>
      <c r="Q26" s="196" t="s">
        <v>230</v>
      </c>
      <c r="R26" s="207" t="e">
        <f t="shared" si="2"/>
        <v>#REF!</v>
      </c>
      <c r="S26" s="208" t="s">
        <v>230</v>
      </c>
      <c r="T26" s="209" t="s">
        <v>230</v>
      </c>
      <c r="U26" s="210" t="s">
        <v>230</v>
      </c>
      <c r="V26" s="211" t="s">
        <v>12</v>
      </c>
      <c r="W26" s="196" t="s">
        <v>230</v>
      </c>
      <c r="X26" s="212" t="e">
        <f t="shared" si="3"/>
        <v>#REF!</v>
      </c>
      <c r="Y26" s="213" t="s">
        <v>230</v>
      </c>
      <c r="Z26" s="214" t="s">
        <v>230</v>
      </c>
      <c r="AA26" s="78" t="s">
        <v>230</v>
      </c>
      <c r="AB26" s="215" t="s">
        <v>12</v>
      </c>
      <c r="AC26" s="216" t="e">
        <f t="shared" si="4"/>
        <v>#REF!</v>
      </c>
      <c r="AD26" s="198" t="s">
        <v>230</v>
      </c>
      <c r="AE26" s="217" t="s">
        <v>230</v>
      </c>
      <c r="AF26" s="200" t="s">
        <v>230</v>
      </c>
      <c r="AG26" s="218" t="s">
        <v>12</v>
      </c>
      <c r="AH26" s="219">
        <v>44803</v>
      </c>
      <c r="AI26" s="220" t="s">
        <v>230</v>
      </c>
      <c r="AJ26" s="221" t="s">
        <v>230</v>
      </c>
      <c r="AK26" s="222" t="s">
        <v>230</v>
      </c>
      <c r="AL26" s="223" t="s">
        <v>12</v>
      </c>
      <c r="AM26" s="224" t="e">
        <f t="shared" si="5"/>
        <v>#REF!</v>
      </c>
      <c r="AN26" s="196" t="s">
        <v>230</v>
      </c>
    </row>
    <row r="27" spans="1:40" ht="39.75" customHeight="1" x14ac:dyDescent="0.25">
      <c r="A27" s="195">
        <f t="shared" si="7"/>
        <v>15</v>
      </c>
      <c r="B27" s="110" t="e">
        <f>#REF!</f>
        <v>#REF!</v>
      </c>
      <c r="C27" s="111" t="e">
        <f>#REF!</f>
        <v>#REF!</v>
      </c>
      <c r="D27" s="112" t="e">
        <f>#REF!</f>
        <v>#REF!</v>
      </c>
      <c r="E27" s="113" t="e">
        <f>#REF!</f>
        <v>#REF!</v>
      </c>
      <c r="F27" s="196" t="s">
        <v>129</v>
      </c>
      <c r="G27" s="197" t="e">
        <f t="shared" si="0"/>
        <v>#REF!</v>
      </c>
      <c r="H27" s="198" t="s">
        <v>129</v>
      </c>
      <c r="I27" s="199" t="s">
        <v>129</v>
      </c>
      <c r="J27" s="200" t="s">
        <v>129</v>
      </c>
      <c r="K27" s="201" t="s">
        <v>12</v>
      </c>
      <c r="L27" s="202" t="e">
        <f t="shared" si="1"/>
        <v>#REF!</v>
      </c>
      <c r="M27" s="203" t="s">
        <v>129</v>
      </c>
      <c r="N27" s="204" t="s">
        <v>129</v>
      </c>
      <c r="O27" s="205" t="s">
        <v>129</v>
      </c>
      <c r="P27" s="206" t="s">
        <v>12</v>
      </c>
      <c r="Q27" s="196" t="s">
        <v>129</v>
      </c>
      <c r="R27" s="207" t="e">
        <f t="shared" si="2"/>
        <v>#REF!</v>
      </c>
      <c r="S27" s="208" t="s">
        <v>129</v>
      </c>
      <c r="T27" s="209" t="s">
        <v>129</v>
      </c>
      <c r="U27" s="210" t="s">
        <v>129</v>
      </c>
      <c r="V27" s="211" t="s">
        <v>12</v>
      </c>
      <c r="W27" s="196" t="s">
        <v>129</v>
      </c>
      <c r="X27" s="212" t="e">
        <f t="shared" si="3"/>
        <v>#REF!</v>
      </c>
      <c r="Y27" s="213" t="s">
        <v>129</v>
      </c>
      <c r="Z27" s="214" t="s">
        <v>129</v>
      </c>
      <c r="AA27" s="78" t="s">
        <v>129</v>
      </c>
      <c r="AB27" s="215" t="s">
        <v>12</v>
      </c>
      <c r="AC27" s="216" t="e">
        <f t="shared" si="4"/>
        <v>#REF!</v>
      </c>
      <c r="AD27" s="198" t="s">
        <v>129</v>
      </c>
      <c r="AE27" s="217" t="s">
        <v>129</v>
      </c>
      <c r="AF27" s="200" t="s">
        <v>129</v>
      </c>
      <c r="AG27" s="218" t="s">
        <v>12</v>
      </c>
      <c r="AH27" s="219">
        <v>44803</v>
      </c>
      <c r="AI27" s="220" t="s">
        <v>129</v>
      </c>
      <c r="AJ27" s="221" t="s">
        <v>129</v>
      </c>
      <c r="AK27" s="222" t="s">
        <v>129</v>
      </c>
      <c r="AL27" s="223" t="s">
        <v>12</v>
      </c>
      <c r="AM27" s="224" t="e">
        <f t="shared" si="5"/>
        <v>#REF!</v>
      </c>
      <c r="AN27" s="196" t="s">
        <v>129</v>
      </c>
    </row>
    <row r="28" spans="1:40" ht="39.75" customHeight="1" x14ac:dyDescent="0.25">
      <c r="A28" s="195">
        <f t="shared" si="7"/>
        <v>16</v>
      </c>
      <c r="B28" s="110" t="e">
        <f>#REF!</f>
        <v>#REF!</v>
      </c>
      <c r="C28" s="111" t="e">
        <f>#REF!</f>
        <v>#REF!</v>
      </c>
      <c r="D28" s="112" t="e">
        <f>#REF!</f>
        <v>#REF!</v>
      </c>
      <c r="E28" s="113" t="e">
        <f>#REF!</f>
        <v>#REF!</v>
      </c>
      <c r="F28" s="196" t="s">
        <v>230</v>
      </c>
      <c r="G28" s="197" t="e">
        <f t="shared" si="0"/>
        <v>#REF!</v>
      </c>
      <c r="H28" s="198" t="s">
        <v>230</v>
      </c>
      <c r="I28" s="199" t="s">
        <v>230</v>
      </c>
      <c r="J28" s="200" t="s">
        <v>230</v>
      </c>
      <c r="K28" s="201" t="s">
        <v>12</v>
      </c>
      <c r="L28" s="202" t="e">
        <f t="shared" si="1"/>
        <v>#REF!</v>
      </c>
      <c r="M28" s="203" t="s">
        <v>230</v>
      </c>
      <c r="N28" s="204" t="s">
        <v>230</v>
      </c>
      <c r="O28" s="205" t="s">
        <v>230</v>
      </c>
      <c r="P28" s="206" t="s">
        <v>12</v>
      </c>
      <c r="Q28" s="196" t="s">
        <v>230</v>
      </c>
      <c r="R28" s="207" t="e">
        <f t="shared" si="2"/>
        <v>#REF!</v>
      </c>
      <c r="S28" s="208" t="s">
        <v>230</v>
      </c>
      <c r="T28" s="209" t="s">
        <v>230</v>
      </c>
      <c r="U28" s="210" t="s">
        <v>230</v>
      </c>
      <c r="V28" s="211" t="s">
        <v>12</v>
      </c>
      <c r="W28" s="196" t="s">
        <v>230</v>
      </c>
      <c r="X28" s="212" t="e">
        <f t="shared" si="3"/>
        <v>#REF!</v>
      </c>
      <c r="Y28" s="213" t="s">
        <v>230</v>
      </c>
      <c r="Z28" s="214" t="s">
        <v>230</v>
      </c>
      <c r="AA28" s="78" t="s">
        <v>230</v>
      </c>
      <c r="AB28" s="215" t="s">
        <v>12</v>
      </c>
      <c r="AC28" s="216" t="e">
        <f t="shared" si="4"/>
        <v>#REF!</v>
      </c>
      <c r="AD28" s="198" t="s">
        <v>230</v>
      </c>
      <c r="AE28" s="217" t="s">
        <v>230</v>
      </c>
      <c r="AF28" s="200" t="s">
        <v>230</v>
      </c>
      <c r="AG28" s="218" t="s">
        <v>12</v>
      </c>
      <c r="AH28" s="219">
        <v>44803</v>
      </c>
      <c r="AI28" s="220" t="s">
        <v>230</v>
      </c>
      <c r="AJ28" s="221" t="s">
        <v>230</v>
      </c>
      <c r="AK28" s="222" t="s">
        <v>230</v>
      </c>
      <c r="AL28" s="223" t="s">
        <v>12</v>
      </c>
      <c r="AM28" s="224" t="e">
        <f t="shared" si="5"/>
        <v>#REF!</v>
      </c>
      <c r="AN28" s="196" t="s">
        <v>230</v>
      </c>
    </row>
    <row r="29" spans="1:40" ht="39.75" customHeight="1" x14ac:dyDescent="0.25">
      <c r="A29" s="195">
        <f t="shared" si="7"/>
        <v>17</v>
      </c>
      <c r="B29" s="110" t="e">
        <f>#REF!</f>
        <v>#REF!</v>
      </c>
      <c r="C29" s="111" t="e">
        <f>#REF!</f>
        <v>#REF!</v>
      </c>
      <c r="D29" s="112" t="e">
        <f>#REF!</f>
        <v>#REF!</v>
      </c>
      <c r="E29" s="113" t="e">
        <f>#REF!</f>
        <v>#REF!</v>
      </c>
      <c r="F29" s="196" t="s">
        <v>129</v>
      </c>
      <c r="G29" s="197" t="e">
        <f t="shared" si="0"/>
        <v>#REF!</v>
      </c>
      <c r="H29" s="198" t="s">
        <v>129</v>
      </c>
      <c r="I29" s="199" t="s">
        <v>129</v>
      </c>
      <c r="J29" s="200" t="s">
        <v>129</v>
      </c>
      <c r="K29" s="201" t="s">
        <v>12</v>
      </c>
      <c r="L29" s="202" t="e">
        <f t="shared" si="1"/>
        <v>#REF!</v>
      </c>
      <c r="M29" s="203" t="s">
        <v>129</v>
      </c>
      <c r="N29" s="204" t="s">
        <v>129</v>
      </c>
      <c r="O29" s="205" t="s">
        <v>129</v>
      </c>
      <c r="P29" s="206" t="s">
        <v>12</v>
      </c>
      <c r="Q29" s="196" t="s">
        <v>129</v>
      </c>
      <c r="R29" s="207" t="e">
        <f t="shared" si="2"/>
        <v>#REF!</v>
      </c>
      <c r="S29" s="208" t="s">
        <v>129</v>
      </c>
      <c r="T29" s="209" t="s">
        <v>129</v>
      </c>
      <c r="U29" s="210" t="s">
        <v>129</v>
      </c>
      <c r="V29" s="211" t="s">
        <v>12</v>
      </c>
      <c r="W29" s="196" t="s">
        <v>129</v>
      </c>
      <c r="X29" s="212" t="e">
        <f t="shared" si="3"/>
        <v>#REF!</v>
      </c>
      <c r="Y29" s="213" t="s">
        <v>129</v>
      </c>
      <c r="Z29" s="214" t="s">
        <v>129</v>
      </c>
      <c r="AA29" s="78" t="s">
        <v>129</v>
      </c>
      <c r="AB29" s="215" t="s">
        <v>12</v>
      </c>
      <c r="AC29" s="216" t="e">
        <f t="shared" si="4"/>
        <v>#REF!</v>
      </c>
      <c r="AD29" s="198" t="s">
        <v>129</v>
      </c>
      <c r="AE29" s="217" t="s">
        <v>129</v>
      </c>
      <c r="AF29" s="200" t="s">
        <v>129</v>
      </c>
      <c r="AG29" s="218" t="s">
        <v>12</v>
      </c>
      <c r="AH29" s="219">
        <v>44803</v>
      </c>
      <c r="AI29" s="220" t="s">
        <v>129</v>
      </c>
      <c r="AJ29" s="221" t="s">
        <v>129</v>
      </c>
      <c r="AK29" s="222" t="s">
        <v>129</v>
      </c>
      <c r="AL29" s="223" t="s">
        <v>12</v>
      </c>
      <c r="AM29" s="224" t="e">
        <f t="shared" si="5"/>
        <v>#REF!</v>
      </c>
      <c r="AN29" s="196" t="s">
        <v>129</v>
      </c>
    </row>
    <row r="30" spans="1:40" ht="39.75" customHeight="1" x14ac:dyDescent="0.25">
      <c r="A30" s="195">
        <f t="shared" si="7"/>
        <v>18</v>
      </c>
      <c r="B30" s="110" t="e">
        <f>#REF!</f>
        <v>#REF!</v>
      </c>
      <c r="C30" s="111" t="e">
        <f>#REF!</f>
        <v>#REF!</v>
      </c>
      <c r="D30" s="112" t="e">
        <f>#REF!</f>
        <v>#REF!</v>
      </c>
      <c r="E30" s="113" t="e">
        <f>#REF!</f>
        <v>#REF!</v>
      </c>
      <c r="F30" s="196" t="s">
        <v>230</v>
      </c>
      <c r="G30" s="197" t="e">
        <f t="shared" si="0"/>
        <v>#REF!</v>
      </c>
      <c r="H30" s="198" t="s">
        <v>230</v>
      </c>
      <c r="I30" s="199" t="s">
        <v>230</v>
      </c>
      <c r="J30" s="200" t="s">
        <v>230</v>
      </c>
      <c r="K30" s="201" t="s">
        <v>12</v>
      </c>
      <c r="L30" s="202" t="e">
        <f t="shared" si="1"/>
        <v>#REF!</v>
      </c>
      <c r="M30" s="203" t="s">
        <v>230</v>
      </c>
      <c r="N30" s="204" t="s">
        <v>230</v>
      </c>
      <c r="O30" s="205" t="s">
        <v>230</v>
      </c>
      <c r="P30" s="206" t="s">
        <v>12</v>
      </c>
      <c r="Q30" s="196" t="s">
        <v>230</v>
      </c>
      <c r="R30" s="207" t="e">
        <f t="shared" si="2"/>
        <v>#REF!</v>
      </c>
      <c r="S30" s="208" t="s">
        <v>230</v>
      </c>
      <c r="T30" s="209" t="s">
        <v>230</v>
      </c>
      <c r="U30" s="210" t="s">
        <v>230</v>
      </c>
      <c r="V30" s="211" t="s">
        <v>12</v>
      </c>
      <c r="W30" s="196" t="s">
        <v>230</v>
      </c>
      <c r="X30" s="212" t="e">
        <f t="shared" si="3"/>
        <v>#REF!</v>
      </c>
      <c r="Y30" s="213" t="s">
        <v>230</v>
      </c>
      <c r="Z30" s="214" t="s">
        <v>230</v>
      </c>
      <c r="AA30" s="78" t="s">
        <v>230</v>
      </c>
      <c r="AB30" s="215" t="s">
        <v>12</v>
      </c>
      <c r="AC30" s="216" t="e">
        <f t="shared" si="4"/>
        <v>#REF!</v>
      </c>
      <c r="AD30" s="198" t="s">
        <v>230</v>
      </c>
      <c r="AE30" s="217" t="s">
        <v>230</v>
      </c>
      <c r="AF30" s="200" t="s">
        <v>230</v>
      </c>
      <c r="AG30" s="218" t="s">
        <v>12</v>
      </c>
      <c r="AH30" s="219">
        <v>44803</v>
      </c>
      <c r="AI30" s="220" t="s">
        <v>230</v>
      </c>
      <c r="AJ30" s="221" t="s">
        <v>230</v>
      </c>
      <c r="AK30" s="222" t="s">
        <v>230</v>
      </c>
      <c r="AL30" s="223" t="s">
        <v>12</v>
      </c>
      <c r="AM30" s="224" t="e">
        <f t="shared" si="5"/>
        <v>#REF!</v>
      </c>
      <c r="AN30" s="196" t="s">
        <v>230</v>
      </c>
    </row>
    <row r="31" spans="1:40" ht="39.75" customHeight="1" x14ac:dyDescent="0.25">
      <c r="A31" s="195">
        <f t="shared" si="7"/>
        <v>19</v>
      </c>
      <c r="B31" s="110" t="e">
        <f>#REF!</f>
        <v>#REF!</v>
      </c>
      <c r="C31" s="111" t="e">
        <f>#REF!</f>
        <v>#REF!</v>
      </c>
      <c r="D31" s="112" t="e">
        <f>#REF!</f>
        <v>#REF!</v>
      </c>
      <c r="E31" s="113" t="e">
        <f>#REF!</f>
        <v>#REF!</v>
      </c>
      <c r="F31" s="196" t="s">
        <v>129</v>
      </c>
      <c r="G31" s="197" t="e">
        <f t="shared" si="0"/>
        <v>#REF!</v>
      </c>
      <c r="H31" s="198" t="s">
        <v>129</v>
      </c>
      <c r="I31" s="199" t="s">
        <v>129</v>
      </c>
      <c r="J31" s="200" t="s">
        <v>129</v>
      </c>
      <c r="K31" s="201" t="s">
        <v>12</v>
      </c>
      <c r="L31" s="202" t="e">
        <f t="shared" si="1"/>
        <v>#REF!</v>
      </c>
      <c r="M31" s="203" t="s">
        <v>129</v>
      </c>
      <c r="N31" s="204" t="s">
        <v>129</v>
      </c>
      <c r="O31" s="205" t="s">
        <v>129</v>
      </c>
      <c r="P31" s="206" t="s">
        <v>12</v>
      </c>
      <c r="Q31" s="196" t="s">
        <v>129</v>
      </c>
      <c r="R31" s="207" t="e">
        <f t="shared" si="2"/>
        <v>#REF!</v>
      </c>
      <c r="S31" s="208" t="s">
        <v>129</v>
      </c>
      <c r="T31" s="209" t="s">
        <v>129</v>
      </c>
      <c r="U31" s="210" t="s">
        <v>129</v>
      </c>
      <c r="V31" s="211" t="s">
        <v>12</v>
      </c>
      <c r="W31" s="196" t="s">
        <v>129</v>
      </c>
      <c r="X31" s="212" t="e">
        <f t="shared" si="3"/>
        <v>#REF!</v>
      </c>
      <c r="Y31" s="213" t="s">
        <v>129</v>
      </c>
      <c r="Z31" s="214" t="s">
        <v>129</v>
      </c>
      <c r="AA31" s="78" t="s">
        <v>129</v>
      </c>
      <c r="AB31" s="215" t="s">
        <v>12</v>
      </c>
      <c r="AC31" s="216" t="e">
        <f t="shared" si="4"/>
        <v>#REF!</v>
      </c>
      <c r="AD31" s="198" t="s">
        <v>129</v>
      </c>
      <c r="AE31" s="217" t="s">
        <v>129</v>
      </c>
      <c r="AF31" s="200" t="s">
        <v>129</v>
      </c>
      <c r="AG31" s="218" t="s">
        <v>12</v>
      </c>
      <c r="AH31" s="219">
        <v>44803</v>
      </c>
      <c r="AI31" s="220" t="s">
        <v>129</v>
      </c>
      <c r="AJ31" s="221" t="s">
        <v>129</v>
      </c>
      <c r="AK31" s="222" t="s">
        <v>129</v>
      </c>
      <c r="AL31" s="223" t="s">
        <v>12</v>
      </c>
      <c r="AM31" s="224" t="e">
        <f t="shared" si="5"/>
        <v>#REF!</v>
      </c>
      <c r="AN31" s="196" t="s">
        <v>129</v>
      </c>
    </row>
    <row r="32" spans="1:40" ht="39.75" customHeight="1" x14ac:dyDescent="0.25">
      <c r="A32" s="195">
        <f t="shared" si="7"/>
        <v>20</v>
      </c>
      <c r="B32" s="110" t="e">
        <f>#REF!</f>
        <v>#REF!</v>
      </c>
      <c r="C32" s="111" t="e">
        <f>#REF!</f>
        <v>#REF!</v>
      </c>
      <c r="D32" s="112" t="e">
        <f>#REF!</f>
        <v>#REF!</v>
      </c>
      <c r="E32" s="113" t="e">
        <f>#REF!</f>
        <v>#REF!</v>
      </c>
      <c r="F32" s="196" t="s">
        <v>230</v>
      </c>
      <c r="G32" s="197" t="e">
        <f t="shared" si="0"/>
        <v>#REF!</v>
      </c>
      <c r="H32" s="198" t="s">
        <v>230</v>
      </c>
      <c r="I32" s="199" t="s">
        <v>230</v>
      </c>
      <c r="J32" s="200" t="s">
        <v>230</v>
      </c>
      <c r="K32" s="201" t="s">
        <v>12</v>
      </c>
      <c r="L32" s="202" t="e">
        <f t="shared" si="1"/>
        <v>#REF!</v>
      </c>
      <c r="M32" s="203" t="s">
        <v>230</v>
      </c>
      <c r="N32" s="204" t="s">
        <v>230</v>
      </c>
      <c r="O32" s="205" t="s">
        <v>230</v>
      </c>
      <c r="P32" s="206" t="s">
        <v>12</v>
      </c>
      <c r="Q32" s="196" t="s">
        <v>230</v>
      </c>
      <c r="R32" s="207" t="e">
        <f t="shared" si="2"/>
        <v>#REF!</v>
      </c>
      <c r="S32" s="208" t="s">
        <v>230</v>
      </c>
      <c r="T32" s="209" t="s">
        <v>230</v>
      </c>
      <c r="U32" s="210" t="s">
        <v>230</v>
      </c>
      <c r="V32" s="211" t="s">
        <v>12</v>
      </c>
      <c r="W32" s="196" t="s">
        <v>230</v>
      </c>
      <c r="X32" s="212" t="e">
        <f t="shared" si="3"/>
        <v>#REF!</v>
      </c>
      <c r="Y32" s="213" t="s">
        <v>230</v>
      </c>
      <c r="Z32" s="214" t="s">
        <v>230</v>
      </c>
      <c r="AA32" s="78" t="s">
        <v>230</v>
      </c>
      <c r="AB32" s="215" t="s">
        <v>12</v>
      </c>
      <c r="AC32" s="216" t="e">
        <f t="shared" si="4"/>
        <v>#REF!</v>
      </c>
      <c r="AD32" s="198" t="s">
        <v>230</v>
      </c>
      <c r="AE32" s="217" t="s">
        <v>230</v>
      </c>
      <c r="AF32" s="200" t="s">
        <v>230</v>
      </c>
      <c r="AG32" s="218" t="s">
        <v>12</v>
      </c>
      <c r="AH32" s="219">
        <v>44803</v>
      </c>
      <c r="AI32" s="220" t="s">
        <v>230</v>
      </c>
      <c r="AJ32" s="221" t="s">
        <v>230</v>
      </c>
      <c r="AK32" s="222" t="s">
        <v>230</v>
      </c>
      <c r="AL32" s="223" t="s">
        <v>12</v>
      </c>
      <c r="AM32" s="224" t="e">
        <f t="shared" si="5"/>
        <v>#REF!</v>
      </c>
      <c r="AN32" s="196" t="s">
        <v>230</v>
      </c>
    </row>
    <row r="33" spans="1:40" ht="39.75" customHeight="1" x14ac:dyDescent="0.25">
      <c r="A33" s="195">
        <f t="shared" si="7"/>
        <v>21</v>
      </c>
      <c r="B33" s="110" t="e">
        <f>#REF!</f>
        <v>#REF!</v>
      </c>
      <c r="C33" s="111" t="e">
        <f>#REF!</f>
        <v>#REF!</v>
      </c>
      <c r="D33" s="112" t="e">
        <f>#REF!</f>
        <v>#REF!</v>
      </c>
      <c r="E33" s="113" t="e">
        <f>#REF!</f>
        <v>#REF!</v>
      </c>
      <c r="F33" s="196" t="s">
        <v>129</v>
      </c>
      <c r="G33" s="197" t="e">
        <f t="shared" si="0"/>
        <v>#REF!</v>
      </c>
      <c r="H33" s="198" t="s">
        <v>129</v>
      </c>
      <c r="I33" s="199" t="s">
        <v>129</v>
      </c>
      <c r="J33" s="200" t="s">
        <v>129</v>
      </c>
      <c r="K33" s="201" t="s">
        <v>12</v>
      </c>
      <c r="L33" s="202" t="e">
        <f t="shared" si="1"/>
        <v>#REF!</v>
      </c>
      <c r="M33" s="203" t="s">
        <v>129</v>
      </c>
      <c r="N33" s="204" t="s">
        <v>129</v>
      </c>
      <c r="O33" s="205" t="s">
        <v>129</v>
      </c>
      <c r="P33" s="206" t="s">
        <v>12</v>
      </c>
      <c r="Q33" s="196" t="s">
        <v>129</v>
      </c>
      <c r="R33" s="207" t="e">
        <f t="shared" si="2"/>
        <v>#REF!</v>
      </c>
      <c r="S33" s="208" t="s">
        <v>129</v>
      </c>
      <c r="T33" s="209" t="s">
        <v>129</v>
      </c>
      <c r="U33" s="210" t="s">
        <v>129</v>
      </c>
      <c r="V33" s="211" t="s">
        <v>12</v>
      </c>
      <c r="W33" s="196" t="s">
        <v>129</v>
      </c>
      <c r="X33" s="212" t="e">
        <f t="shared" si="3"/>
        <v>#REF!</v>
      </c>
      <c r="Y33" s="213" t="s">
        <v>129</v>
      </c>
      <c r="Z33" s="214" t="s">
        <v>129</v>
      </c>
      <c r="AA33" s="78" t="s">
        <v>129</v>
      </c>
      <c r="AB33" s="215" t="s">
        <v>12</v>
      </c>
      <c r="AC33" s="216" t="e">
        <f t="shared" si="4"/>
        <v>#REF!</v>
      </c>
      <c r="AD33" s="198" t="s">
        <v>129</v>
      </c>
      <c r="AE33" s="217" t="s">
        <v>129</v>
      </c>
      <c r="AF33" s="200" t="s">
        <v>129</v>
      </c>
      <c r="AG33" s="218" t="s">
        <v>12</v>
      </c>
      <c r="AH33" s="219">
        <v>44803</v>
      </c>
      <c r="AI33" s="220" t="s">
        <v>129</v>
      </c>
      <c r="AJ33" s="221" t="s">
        <v>129</v>
      </c>
      <c r="AK33" s="222" t="s">
        <v>129</v>
      </c>
      <c r="AL33" s="223" t="s">
        <v>12</v>
      </c>
      <c r="AM33" s="224" t="e">
        <f t="shared" si="5"/>
        <v>#REF!</v>
      </c>
      <c r="AN33" s="196" t="s">
        <v>129</v>
      </c>
    </row>
    <row r="34" spans="1:40" ht="39.75" customHeight="1" x14ac:dyDescent="0.25">
      <c r="A34" s="195">
        <f t="shared" si="7"/>
        <v>22</v>
      </c>
      <c r="B34" s="110" t="e">
        <f>#REF!</f>
        <v>#REF!</v>
      </c>
      <c r="C34" s="111" t="e">
        <f>#REF!</f>
        <v>#REF!</v>
      </c>
      <c r="D34" s="112" t="e">
        <f>#REF!</f>
        <v>#REF!</v>
      </c>
      <c r="E34" s="113" t="e">
        <f>#REF!</f>
        <v>#REF!</v>
      </c>
      <c r="F34" s="196" t="s">
        <v>230</v>
      </c>
      <c r="G34" s="197" t="e">
        <f t="shared" si="0"/>
        <v>#REF!</v>
      </c>
      <c r="H34" s="198" t="s">
        <v>230</v>
      </c>
      <c r="I34" s="199" t="s">
        <v>230</v>
      </c>
      <c r="J34" s="200" t="s">
        <v>230</v>
      </c>
      <c r="K34" s="201" t="s">
        <v>12</v>
      </c>
      <c r="L34" s="202" t="e">
        <f t="shared" si="1"/>
        <v>#REF!</v>
      </c>
      <c r="M34" s="203" t="s">
        <v>230</v>
      </c>
      <c r="N34" s="204" t="s">
        <v>230</v>
      </c>
      <c r="O34" s="205" t="s">
        <v>230</v>
      </c>
      <c r="P34" s="206" t="s">
        <v>12</v>
      </c>
      <c r="Q34" s="196" t="s">
        <v>230</v>
      </c>
      <c r="R34" s="207" t="e">
        <f t="shared" si="2"/>
        <v>#REF!</v>
      </c>
      <c r="S34" s="208" t="s">
        <v>230</v>
      </c>
      <c r="T34" s="209" t="s">
        <v>230</v>
      </c>
      <c r="U34" s="210" t="s">
        <v>230</v>
      </c>
      <c r="V34" s="211" t="s">
        <v>12</v>
      </c>
      <c r="W34" s="196" t="s">
        <v>230</v>
      </c>
      <c r="X34" s="212" t="e">
        <f t="shared" si="3"/>
        <v>#REF!</v>
      </c>
      <c r="Y34" s="213" t="s">
        <v>230</v>
      </c>
      <c r="Z34" s="214" t="s">
        <v>230</v>
      </c>
      <c r="AA34" s="78" t="s">
        <v>230</v>
      </c>
      <c r="AB34" s="215" t="s">
        <v>12</v>
      </c>
      <c r="AC34" s="216" t="e">
        <f t="shared" si="4"/>
        <v>#REF!</v>
      </c>
      <c r="AD34" s="198" t="s">
        <v>230</v>
      </c>
      <c r="AE34" s="217" t="s">
        <v>230</v>
      </c>
      <c r="AF34" s="200" t="s">
        <v>230</v>
      </c>
      <c r="AG34" s="218" t="s">
        <v>12</v>
      </c>
      <c r="AH34" s="219">
        <v>44803</v>
      </c>
      <c r="AI34" s="220" t="s">
        <v>230</v>
      </c>
      <c r="AJ34" s="221" t="s">
        <v>230</v>
      </c>
      <c r="AK34" s="222" t="s">
        <v>230</v>
      </c>
      <c r="AL34" s="223" t="s">
        <v>12</v>
      </c>
      <c r="AM34" s="224" t="e">
        <f t="shared" si="5"/>
        <v>#REF!</v>
      </c>
      <c r="AN34" s="196" t="s">
        <v>230</v>
      </c>
    </row>
    <row r="35" spans="1:40" ht="39.75" customHeight="1" x14ac:dyDescent="0.25">
      <c r="A35" s="195">
        <f t="shared" si="7"/>
        <v>23</v>
      </c>
      <c r="B35" s="110" t="e">
        <f>#REF!</f>
        <v>#REF!</v>
      </c>
      <c r="C35" s="111" t="e">
        <f>#REF!</f>
        <v>#REF!</v>
      </c>
      <c r="D35" s="112" t="e">
        <f>#REF!</f>
        <v>#REF!</v>
      </c>
      <c r="E35" s="113" t="e">
        <f>#REF!</f>
        <v>#REF!</v>
      </c>
      <c r="F35" s="196" t="s">
        <v>129</v>
      </c>
      <c r="G35" s="197" t="e">
        <f t="shared" si="0"/>
        <v>#REF!</v>
      </c>
      <c r="H35" s="198" t="s">
        <v>129</v>
      </c>
      <c r="I35" s="199" t="s">
        <v>129</v>
      </c>
      <c r="J35" s="200" t="s">
        <v>129</v>
      </c>
      <c r="K35" s="201" t="s">
        <v>12</v>
      </c>
      <c r="L35" s="202" t="e">
        <f t="shared" si="1"/>
        <v>#REF!</v>
      </c>
      <c r="M35" s="203" t="s">
        <v>129</v>
      </c>
      <c r="N35" s="204" t="s">
        <v>129</v>
      </c>
      <c r="O35" s="205" t="s">
        <v>129</v>
      </c>
      <c r="P35" s="206" t="s">
        <v>12</v>
      </c>
      <c r="Q35" s="196" t="s">
        <v>129</v>
      </c>
      <c r="R35" s="207" t="e">
        <f t="shared" si="2"/>
        <v>#REF!</v>
      </c>
      <c r="S35" s="208" t="s">
        <v>129</v>
      </c>
      <c r="T35" s="209" t="s">
        <v>129</v>
      </c>
      <c r="U35" s="210" t="s">
        <v>129</v>
      </c>
      <c r="V35" s="211" t="s">
        <v>12</v>
      </c>
      <c r="W35" s="196" t="s">
        <v>129</v>
      </c>
      <c r="X35" s="212" t="e">
        <f t="shared" si="3"/>
        <v>#REF!</v>
      </c>
      <c r="Y35" s="213" t="s">
        <v>129</v>
      </c>
      <c r="Z35" s="214" t="s">
        <v>129</v>
      </c>
      <c r="AA35" s="78" t="s">
        <v>129</v>
      </c>
      <c r="AB35" s="215" t="s">
        <v>12</v>
      </c>
      <c r="AC35" s="216" t="e">
        <f t="shared" si="4"/>
        <v>#REF!</v>
      </c>
      <c r="AD35" s="198" t="s">
        <v>129</v>
      </c>
      <c r="AE35" s="217" t="s">
        <v>129</v>
      </c>
      <c r="AF35" s="200" t="s">
        <v>129</v>
      </c>
      <c r="AG35" s="218" t="s">
        <v>12</v>
      </c>
      <c r="AH35" s="219">
        <v>44803</v>
      </c>
      <c r="AI35" s="220" t="s">
        <v>129</v>
      </c>
      <c r="AJ35" s="221" t="s">
        <v>129</v>
      </c>
      <c r="AK35" s="222" t="s">
        <v>129</v>
      </c>
      <c r="AL35" s="223" t="s">
        <v>12</v>
      </c>
      <c r="AM35" s="224" t="e">
        <f t="shared" si="5"/>
        <v>#REF!</v>
      </c>
      <c r="AN35" s="196" t="s">
        <v>129</v>
      </c>
    </row>
    <row r="36" spans="1:40" ht="39.75" customHeight="1" x14ac:dyDescent="0.25">
      <c r="A36" s="195">
        <f t="shared" si="7"/>
        <v>24</v>
      </c>
      <c r="B36" s="110" t="e">
        <f>#REF!</f>
        <v>#REF!</v>
      </c>
      <c r="C36" s="111" t="e">
        <f>#REF!</f>
        <v>#REF!</v>
      </c>
      <c r="D36" s="112" t="e">
        <f>#REF!</f>
        <v>#REF!</v>
      </c>
      <c r="E36" s="113" t="e">
        <f>#REF!</f>
        <v>#REF!</v>
      </c>
      <c r="F36" s="196" t="s">
        <v>230</v>
      </c>
      <c r="G36" s="197" t="e">
        <f t="shared" si="0"/>
        <v>#REF!</v>
      </c>
      <c r="H36" s="198" t="s">
        <v>230</v>
      </c>
      <c r="I36" s="199" t="s">
        <v>230</v>
      </c>
      <c r="J36" s="200" t="s">
        <v>230</v>
      </c>
      <c r="K36" s="201" t="s">
        <v>12</v>
      </c>
      <c r="L36" s="202" t="e">
        <f t="shared" si="1"/>
        <v>#REF!</v>
      </c>
      <c r="M36" s="203" t="s">
        <v>230</v>
      </c>
      <c r="N36" s="204" t="s">
        <v>230</v>
      </c>
      <c r="O36" s="205" t="s">
        <v>230</v>
      </c>
      <c r="P36" s="206" t="s">
        <v>12</v>
      </c>
      <c r="Q36" s="196" t="s">
        <v>230</v>
      </c>
      <c r="R36" s="207" t="e">
        <f t="shared" si="2"/>
        <v>#REF!</v>
      </c>
      <c r="S36" s="208" t="s">
        <v>230</v>
      </c>
      <c r="T36" s="209" t="s">
        <v>230</v>
      </c>
      <c r="U36" s="210" t="s">
        <v>230</v>
      </c>
      <c r="V36" s="211" t="s">
        <v>12</v>
      </c>
      <c r="W36" s="196" t="s">
        <v>230</v>
      </c>
      <c r="X36" s="212" t="e">
        <f t="shared" si="3"/>
        <v>#REF!</v>
      </c>
      <c r="Y36" s="213" t="s">
        <v>230</v>
      </c>
      <c r="Z36" s="214" t="s">
        <v>230</v>
      </c>
      <c r="AA36" s="78" t="s">
        <v>230</v>
      </c>
      <c r="AB36" s="215" t="s">
        <v>12</v>
      </c>
      <c r="AC36" s="216" t="e">
        <f t="shared" si="4"/>
        <v>#REF!</v>
      </c>
      <c r="AD36" s="198" t="s">
        <v>230</v>
      </c>
      <c r="AE36" s="217" t="s">
        <v>230</v>
      </c>
      <c r="AF36" s="200" t="s">
        <v>230</v>
      </c>
      <c r="AG36" s="218" t="s">
        <v>12</v>
      </c>
      <c r="AH36" s="219">
        <v>44803</v>
      </c>
      <c r="AI36" s="220" t="s">
        <v>230</v>
      </c>
      <c r="AJ36" s="221" t="s">
        <v>230</v>
      </c>
      <c r="AK36" s="222" t="s">
        <v>230</v>
      </c>
      <c r="AL36" s="223" t="s">
        <v>12</v>
      </c>
      <c r="AM36" s="224" t="e">
        <f t="shared" si="5"/>
        <v>#REF!</v>
      </c>
      <c r="AN36" s="196" t="s">
        <v>230</v>
      </c>
    </row>
    <row r="37" spans="1:40" ht="39.75" customHeight="1" x14ac:dyDescent="0.25">
      <c r="A37" s="195">
        <f t="shared" si="7"/>
        <v>25</v>
      </c>
      <c r="B37" s="110" t="e">
        <f>#REF!</f>
        <v>#REF!</v>
      </c>
      <c r="C37" s="111" t="e">
        <f>#REF!</f>
        <v>#REF!</v>
      </c>
      <c r="D37" s="112" t="e">
        <f>#REF!</f>
        <v>#REF!</v>
      </c>
      <c r="E37" s="113" t="e">
        <f>#REF!</f>
        <v>#REF!</v>
      </c>
      <c r="F37" s="196" t="s">
        <v>129</v>
      </c>
      <c r="G37" s="197" t="e">
        <f t="shared" si="0"/>
        <v>#REF!</v>
      </c>
      <c r="H37" s="198" t="s">
        <v>129</v>
      </c>
      <c r="I37" s="199" t="s">
        <v>129</v>
      </c>
      <c r="J37" s="200" t="s">
        <v>129</v>
      </c>
      <c r="K37" s="201" t="s">
        <v>12</v>
      </c>
      <c r="L37" s="202" t="e">
        <f t="shared" si="1"/>
        <v>#REF!</v>
      </c>
      <c r="M37" s="203" t="s">
        <v>129</v>
      </c>
      <c r="N37" s="204" t="s">
        <v>129</v>
      </c>
      <c r="O37" s="205" t="s">
        <v>129</v>
      </c>
      <c r="P37" s="206" t="s">
        <v>12</v>
      </c>
      <c r="Q37" s="196" t="s">
        <v>129</v>
      </c>
      <c r="R37" s="207" t="e">
        <f t="shared" si="2"/>
        <v>#REF!</v>
      </c>
      <c r="S37" s="208" t="s">
        <v>129</v>
      </c>
      <c r="T37" s="209" t="s">
        <v>129</v>
      </c>
      <c r="U37" s="210" t="s">
        <v>129</v>
      </c>
      <c r="V37" s="211" t="s">
        <v>12</v>
      </c>
      <c r="W37" s="196" t="s">
        <v>129</v>
      </c>
      <c r="X37" s="212" t="e">
        <f t="shared" si="3"/>
        <v>#REF!</v>
      </c>
      <c r="Y37" s="213" t="s">
        <v>129</v>
      </c>
      <c r="Z37" s="214" t="s">
        <v>129</v>
      </c>
      <c r="AA37" s="78" t="s">
        <v>129</v>
      </c>
      <c r="AB37" s="215" t="s">
        <v>12</v>
      </c>
      <c r="AC37" s="216" t="e">
        <f t="shared" si="4"/>
        <v>#REF!</v>
      </c>
      <c r="AD37" s="198" t="s">
        <v>129</v>
      </c>
      <c r="AE37" s="217" t="s">
        <v>129</v>
      </c>
      <c r="AF37" s="200" t="s">
        <v>129</v>
      </c>
      <c r="AG37" s="218" t="s">
        <v>12</v>
      </c>
      <c r="AH37" s="219">
        <v>44803</v>
      </c>
      <c r="AI37" s="220" t="s">
        <v>129</v>
      </c>
      <c r="AJ37" s="221" t="s">
        <v>129</v>
      </c>
      <c r="AK37" s="222" t="s">
        <v>129</v>
      </c>
      <c r="AL37" s="223" t="s">
        <v>12</v>
      </c>
      <c r="AM37" s="224" t="e">
        <f t="shared" si="5"/>
        <v>#REF!</v>
      </c>
      <c r="AN37" s="196" t="s">
        <v>129</v>
      </c>
    </row>
    <row r="38" spans="1:40" ht="39.75" customHeight="1" x14ac:dyDescent="0.25">
      <c r="A38" s="195">
        <f t="shared" si="7"/>
        <v>26</v>
      </c>
      <c r="B38" s="110" t="e">
        <f>#REF!</f>
        <v>#REF!</v>
      </c>
      <c r="C38" s="111" t="e">
        <f>#REF!</f>
        <v>#REF!</v>
      </c>
      <c r="D38" s="112" t="e">
        <f>#REF!</f>
        <v>#REF!</v>
      </c>
      <c r="E38" s="113" t="e">
        <f>#REF!</f>
        <v>#REF!</v>
      </c>
      <c r="F38" s="196" t="s">
        <v>230</v>
      </c>
      <c r="G38" s="197" t="e">
        <f t="shared" si="0"/>
        <v>#REF!</v>
      </c>
      <c r="H38" s="198" t="s">
        <v>230</v>
      </c>
      <c r="I38" s="199" t="s">
        <v>230</v>
      </c>
      <c r="J38" s="200" t="s">
        <v>230</v>
      </c>
      <c r="K38" s="201" t="s">
        <v>12</v>
      </c>
      <c r="L38" s="202" t="e">
        <f t="shared" si="1"/>
        <v>#REF!</v>
      </c>
      <c r="M38" s="203" t="s">
        <v>230</v>
      </c>
      <c r="N38" s="204" t="s">
        <v>230</v>
      </c>
      <c r="O38" s="205" t="s">
        <v>230</v>
      </c>
      <c r="P38" s="206" t="s">
        <v>12</v>
      </c>
      <c r="Q38" s="196" t="s">
        <v>230</v>
      </c>
      <c r="R38" s="207" t="e">
        <f t="shared" si="2"/>
        <v>#REF!</v>
      </c>
      <c r="S38" s="208" t="s">
        <v>230</v>
      </c>
      <c r="T38" s="209" t="s">
        <v>230</v>
      </c>
      <c r="U38" s="210" t="s">
        <v>230</v>
      </c>
      <c r="V38" s="211" t="s">
        <v>12</v>
      </c>
      <c r="W38" s="196" t="s">
        <v>230</v>
      </c>
      <c r="X38" s="212" t="e">
        <f t="shared" si="3"/>
        <v>#REF!</v>
      </c>
      <c r="Y38" s="213" t="s">
        <v>230</v>
      </c>
      <c r="Z38" s="214" t="s">
        <v>230</v>
      </c>
      <c r="AA38" s="78" t="s">
        <v>230</v>
      </c>
      <c r="AB38" s="215" t="s">
        <v>12</v>
      </c>
      <c r="AC38" s="216" t="e">
        <f t="shared" si="4"/>
        <v>#REF!</v>
      </c>
      <c r="AD38" s="198" t="s">
        <v>230</v>
      </c>
      <c r="AE38" s="217" t="s">
        <v>230</v>
      </c>
      <c r="AF38" s="200" t="s">
        <v>230</v>
      </c>
      <c r="AG38" s="218" t="s">
        <v>12</v>
      </c>
      <c r="AH38" s="219">
        <v>44803</v>
      </c>
      <c r="AI38" s="220" t="s">
        <v>230</v>
      </c>
      <c r="AJ38" s="221" t="s">
        <v>230</v>
      </c>
      <c r="AK38" s="222" t="s">
        <v>230</v>
      </c>
      <c r="AL38" s="223" t="s">
        <v>12</v>
      </c>
      <c r="AM38" s="224" t="e">
        <f t="shared" si="5"/>
        <v>#REF!</v>
      </c>
      <c r="AN38" s="196" t="s">
        <v>230</v>
      </c>
    </row>
    <row r="39" spans="1:40" ht="39.75" customHeight="1" x14ac:dyDescent="0.25">
      <c r="A39" s="195">
        <f t="shared" si="7"/>
        <v>27</v>
      </c>
      <c r="B39" s="110" t="e">
        <f>#REF!</f>
        <v>#REF!</v>
      </c>
      <c r="C39" s="111" t="e">
        <f>#REF!</f>
        <v>#REF!</v>
      </c>
      <c r="D39" s="112" t="e">
        <f>#REF!</f>
        <v>#REF!</v>
      </c>
      <c r="E39" s="113" t="e">
        <f>#REF!</f>
        <v>#REF!</v>
      </c>
      <c r="F39" s="196" t="s">
        <v>129</v>
      </c>
      <c r="G39" s="197" t="e">
        <f t="shared" si="0"/>
        <v>#REF!</v>
      </c>
      <c r="H39" s="198" t="s">
        <v>129</v>
      </c>
      <c r="I39" s="199" t="s">
        <v>129</v>
      </c>
      <c r="J39" s="200" t="s">
        <v>129</v>
      </c>
      <c r="K39" s="201" t="s">
        <v>12</v>
      </c>
      <c r="L39" s="202" t="e">
        <f t="shared" si="1"/>
        <v>#REF!</v>
      </c>
      <c r="M39" s="203" t="s">
        <v>129</v>
      </c>
      <c r="N39" s="204" t="s">
        <v>129</v>
      </c>
      <c r="O39" s="205" t="s">
        <v>129</v>
      </c>
      <c r="P39" s="206" t="s">
        <v>12</v>
      </c>
      <c r="Q39" s="196" t="s">
        <v>129</v>
      </c>
      <c r="R39" s="207" t="e">
        <f t="shared" si="2"/>
        <v>#REF!</v>
      </c>
      <c r="S39" s="208" t="s">
        <v>129</v>
      </c>
      <c r="T39" s="209" t="s">
        <v>129</v>
      </c>
      <c r="U39" s="210" t="s">
        <v>129</v>
      </c>
      <c r="V39" s="211" t="s">
        <v>12</v>
      </c>
      <c r="W39" s="196" t="s">
        <v>129</v>
      </c>
      <c r="X39" s="212" t="e">
        <f t="shared" si="3"/>
        <v>#REF!</v>
      </c>
      <c r="Y39" s="213" t="s">
        <v>129</v>
      </c>
      <c r="Z39" s="214" t="s">
        <v>129</v>
      </c>
      <c r="AA39" s="78" t="s">
        <v>129</v>
      </c>
      <c r="AB39" s="215" t="s">
        <v>12</v>
      </c>
      <c r="AC39" s="216" t="e">
        <f t="shared" si="4"/>
        <v>#REF!</v>
      </c>
      <c r="AD39" s="198" t="s">
        <v>129</v>
      </c>
      <c r="AE39" s="217" t="s">
        <v>129</v>
      </c>
      <c r="AF39" s="200" t="s">
        <v>129</v>
      </c>
      <c r="AG39" s="218" t="s">
        <v>12</v>
      </c>
      <c r="AH39" s="219">
        <v>44803</v>
      </c>
      <c r="AI39" s="220" t="s">
        <v>129</v>
      </c>
      <c r="AJ39" s="221" t="s">
        <v>129</v>
      </c>
      <c r="AK39" s="222" t="s">
        <v>129</v>
      </c>
      <c r="AL39" s="223" t="s">
        <v>12</v>
      </c>
      <c r="AM39" s="224" t="e">
        <f t="shared" si="5"/>
        <v>#REF!</v>
      </c>
      <c r="AN39" s="196" t="s">
        <v>129</v>
      </c>
    </row>
    <row r="40" spans="1:40" ht="39.75" customHeight="1" x14ac:dyDescent="0.25">
      <c r="A40" s="195">
        <f t="shared" si="7"/>
        <v>28</v>
      </c>
      <c r="B40" s="110" t="e">
        <f>#REF!</f>
        <v>#REF!</v>
      </c>
      <c r="C40" s="111" t="e">
        <f>#REF!</f>
        <v>#REF!</v>
      </c>
      <c r="D40" s="112" t="e">
        <f>#REF!</f>
        <v>#REF!</v>
      </c>
      <c r="E40" s="113" t="e">
        <f>#REF!</f>
        <v>#REF!</v>
      </c>
      <c r="F40" s="196" t="s">
        <v>230</v>
      </c>
      <c r="G40" s="197" t="e">
        <f t="shared" si="0"/>
        <v>#REF!</v>
      </c>
      <c r="H40" s="198" t="s">
        <v>230</v>
      </c>
      <c r="I40" s="199" t="s">
        <v>230</v>
      </c>
      <c r="J40" s="200" t="s">
        <v>230</v>
      </c>
      <c r="K40" s="201" t="s">
        <v>12</v>
      </c>
      <c r="L40" s="202" t="e">
        <f t="shared" si="1"/>
        <v>#REF!</v>
      </c>
      <c r="M40" s="203" t="s">
        <v>230</v>
      </c>
      <c r="N40" s="204" t="s">
        <v>230</v>
      </c>
      <c r="O40" s="205" t="s">
        <v>230</v>
      </c>
      <c r="P40" s="206" t="s">
        <v>12</v>
      </c>
      <c r="Q40" s="196" t="s">
        <v>230</v>
      </c>
      <c r="R40" s="207" t="e">
        <f t="shared" si="2"/>
        <v>#REF!</v>
      </c>
      <c r="S40" s="208" t="s">
        <v>230</v>
      </c>
      <c r="T40" s="209" t="s">
        <v>230</v>
      </c>
      <c r="U40" s="210" t="s">
        <v>230</v>
      </c>
      <c r="V40" s="211" t="s">
        <v>12</v>
      </c>
      <c r="W40" s="196" t="s">
        <v>230</v>
      </c>
      <c r="X40" s="212" t="e">
        <f t="shared" si="3"/>
        <v>#REF!</v>
      </c>
      <c r="Y40" s="213" t="s">
        <v>230</v>
      </c>
      <c r="Z40" s="214" t="s">
        <v>230</v>
      </c>
      <c r="AA40" s="78" t="s">
        <v>230</v>
      </c>
      <c r="AB40" s="215" t="s">
        <v>12</v>
      </c>
      <c r="AC40" s="216" t="e">
        <f t="shared" si="4"/>
        <v>#REF!</v>
      </c>
      <c r="AD40" s="198" t="s">
        <v>230</v>
      </c>
      <c r="AE40" s="217" t="s">
        <v>230</v>
      </c>
      <c r="AF40" s="200" t="s">
        <v>230</v>
      </c>
      <c r="AG40" s="218" t="s">
        <v>12</v>
      </c>
      <c r="AH40" s="219">
        <v>44803</v>
      </c>
      <c r="AI40" s="220" t="s">
        <v>230</v>
      </c>
      <c r="AJ40" s="221" t="s">
        <v>230</v>
      </c>
      <c r="AK40" s="222" t="s">
        <v>230</v>
      </c>
      <c r="AL40" s="223" t="s">
        <v>12</v>
      </c>
      <c r="AM40" s="224" t="e">
        <f t="shared" si="5"/>
        <v>#REF!</v>
      </c>
      <c r="AN40" s="196" t="s">
        <v>230</v>
      </c>
    </row>
    <row r="41" spans="1:40" ht="39.75" customHeight="1" x14ac:dyDescent="0.25">
      <c r="A41" s="195">
        <f t="shared" si="7"/>
        <v>29</v>
      </c>
      <c r="B41" s="110" t="e">
        <f>#REF!</f>
        <v>#REF!</v>
      </c>
      <c r="C41" s="111" t="e">
        <f>#REF!</f>
        <v>#REF!</v>
      </c>
      <c r="D41" s="112" t="e">
        <f>#REF!</f>
        <v>#REF!</v>
      </c>
      <c r="E41" s="113" t="e">
        <f>#REF!</f>
        <v>#REF!</v>
      </c>
      <c r="F41" s="196" t="s">
        <v>129</v>
      </c>
      <c r="G41" s="197" t="e">
        <f t="shared" si="0"/>
        <v>#REF!</v>
      </c>
      <c r="H41" s="198" t="s">
        <v>129</v>
      </c>
      <c r="I41" s="199" t="s">
        <v>129</v>
      </c>
      <c r="J41" s="200" t="s">
        <v>129</v>
      </c>
      <c r="K41" s="201" t="s">
        <v>12</v>
      </c>
      <c r="L41" s="202" t="e">
        <f t="shared" si="1"/>
        <v>#REF!</v>
      </c>
      <c r="M41" s="203" t="s">
        <v>129</v>
      </c>
      <c r="N41" s="204" t="s">
        <v>129</v>
      </c>
      <c r="O41" s="205" t="s">
        <v>129</v>
      </c>
      <c r="P41" s="206" t="s">
        <v>12</v>
      </c>
      <c r="Q41" s="196" t="s">
        <v>129</v>
      </c>
      <c r="R41" s="207" t="e">
        <f t="shared" si="2"/>
        <v>#REF!</v>
      </c>
      <c r="S41" s="208" t="s">
        <v>129</v>
      </c>
      <c r="T41" s="209" t="s">
        <v>129</v>
      </c>
      <c r="U41" s="210" t="s">
        <v>129</v>
      </c>
      <c r="V41" s="211" t="s">
        <v>12</v>
      </c>
      <c r="W41" s="196" t="s">
        <v>129</v>
      </c>
      <c r="X41" s="212" t="e">
        <f t="shared" si="3"/>
        <v>#REF!</v>
      </c>
      <c r="Y41" s="213" t="s">
        <v>129</v>
      </c>
      <c r="Z41" s="214" t="s">
        <v>129</v>
      </c>
      <c r="AA41" s="78" t="s">
        <v>129</v>
      </c>
      <c r="AB41" s="215" t="s">
        <v>12</v>
      </c>
      <c r="AC41" s="216" t="e">
        <f t="shared" si="4"/>
        <v>#REF!</v>
      </c>
      <c r="AD41" s="198" t="s">
        <v>129</v>
      </c>
      <c r="AE41" s="217" t="s">
        <v>129</v>
      </c>
      <c r="AF41" s="200" t="s">
        <v>129</v>
      </c>
      <c r="AG41" s="218" t="s">
        <v>12</v>
      </c>
      <c r="AH41" s="219">
        <v>44803</v>
      </c>
      <c r="AI41" s="220" t="s">
        <v>129</v>
      </c>
      <c r="AJ41" s="221" t="s">
        <v>129</v>
      </c>
      <c r="AK41" s="222" t="s">
        <v>129</v>
      </c>
      <c r="AL41" s="223" t="s">
        <v>12</v>
      </c>
      <c r="AM41" s="224" t="e">
        <f t="shared" si="5"/>
        <v>#REF!</v>
      </c>
      <c r="AN41" s="196" t="s">
        <v>129</v>
      </c>
    </row>
    <row r="42" spans="1:40" ht="39.75" customHeight="1" x14ac:dyDescent="0.25">
      <c r="A42" s="195">
        <f t="shared" si="7"/>
        <v>30</v>
      </c>
      <c r="B42" s="110" t="e">
        <f>#REF!</f>
        <v>#REF!</v>
      </c>
      <c r="C42" s="111" t="e">
        <f>#REF!</f>
        <v>#REF!</v>
      </c>
      <c r="D42" s="112" t="e">
        <f>#REF!</f>
        <v>#REF!</v>
      </c>
      <c r="E42" s="113" t="e">
        <f>#REF!</f>
        <v>#REF!</v>
      </c>
      <c r="F42" s="196" t="s">
        <v>230</v>
      </c>
      <c r="G42" s="197" t="e">
        <f t="shared" si="0"/>
        <v>#REF!</v>
      </c>
      <c r="H42" s="198" t="s">
        <v>230</v>
      </c>
      <c r="I42" s="199" t="s">
        <v>230</v>
      </c>
      <c r="J42" s="200" t="s">
        <v>230</v>
      </c>
      <c r="K42" s="201" t="s">
        <v>12</v>
      </c>
      <c r="L42" s="202" t="e">
        <f t="shared" si="1"/>
        <v>#REF!</v>
      </c>
      <c r="M42" s="203" t="s">
        <v>230</v>
      </c>
      <c r="N42" s="204" t="s">
        <v>230</v>
      </c>
      <c r="O42" s="205" t="s">
        <v>230</v>
      </c>
      <c r="P42" s="206" t="s">
        <v>12</v>
      </c>
      <c r="Q42" s="196" t="s">
        <v>230</v>
      </c>
      <c r="R42" s="207" t="e">
        <f t="shared" si="2"/>
        <v>#REF!</v>
      </c>
      <c r="S42" s="208" t="s">
        <v>230</v>
      </c>
      <c r="T42" s="209" t="s">
        <v>230</v>
      </c>
      <c r="U42" s="210" t="s">
        <v>230</v>
      </c>
      <c r="V42" s="211" t="s">
        <v>12</v>
      </c>
      <c r="W42" s="196" t="s">
        <v>230</v>
      </c>
      <c r="X42" s="212" t="e">
        <f t="shared" si="3"/>
        <v>#REF!</v>
      </c>
      <c r="Y42" s="213" t="s">
        <v>230</v>
      </c>
      <c r="Z42" s="214" t="s">
        <v>230</v>
      </c>
      <c r="AA42" s="78" t="s">
        <v>230</v>
      </c>
      <c r="AB42" s="215" t="s">
        <v>12</v>
      </c>
      <c r="AC42" s="216" t="e">
        <f t="shared" si="4"/>
        <v>#REF!</v>
      </c>
      <c r="AD42" s="198" t="s">
        <v>230</v>
      </c>
      <c r="AE42" s="217" t="s">
        <v>230</v>
      </c>
      <c r="AF42" s="200" t="s">
        <v>230</v>
      </c>
      <c r="AG42" s="218" t="s">
        <v>12</v>
      </c>
      <c r="AH42" s="219">
        <v>44803</v>
      </c>
      <c r="AI42" s="220" t="s">
        <v>230</v>
      </c>
      <c r="AJ42" s="221" t="s">
        <v>230</v>
      </c>
      <c r="AK42" s="222" t="s">
        <v>230</v>
      </c>
      <c r="AL42" s="223" t="s">
        <v>12</v>
      </c>
      <c r="AM42" s="224" t="e">
        <f t="shared" si="5"/>
        <v>#REF!</v>
      </c>
      <c r="AN42" s="196" t="s">
        <v>230</v>
      </c>
    </row>
    <row r="43" spans="1:40" ht="39.75" customHeight="1" x14ac:dyDescent="0.25">
      <c r="A43" s="195">
        <f t="shared" si="7"/>
        <v>31</v>
      </c>
      <c r="B43" s="110" t="e">
        <f>#REF!</f>
        <v>#REF!</v>
      </c>
      <c r="C43" s="111" t="e">
        <f>#REF!</f>
        <v>#REF!</v>
      </c>
      <c r="D43" s="112" t="e">
        <f>#REF!</f>
        <v>#REF!</v>
      </c>
      <c r="E43" s="113" t="e">
        <f>#REF!</f>
        <v>#REF!</v>
      </c>
      <c r="F43" s="196" t="s">
        <v>129</v>
      </c>
      <c r="G43" s="197" t="e">
        <f t="shared" si="0"/>
        <v>#REF!</v>
      </c>
      <c r="H43" s="198" t="s">
        <v>129</v>
      </c>
      <c r="I43" s="199" t="s">
        <v>129</v>
      </c>
      <c r="J43" s="200" t="s">
        <v>129</v>
      </c>
      <c r="K43" s="201" t="s">
        <v>12</v>
      </c>
      <c r="L43" s="202" t="e">
        <f t="shared" si="1"/>
        <v>#REF!</v>
      </c>
      <c r="M43" s="203" t="s">
        <v>129</v>
      </c>
      <c r="N43" s="204" t="s">
        <v>129</v>
      </c>
      <c r="O43" s="205" t="s">
        <v>129</v>
      </c>
      <c r="P43" s="206" t="s">
        <v>12</v>
      </c>
      <c r="Q43" s="196" t="s">
        <v>129</v>
      </c>
      <c r="R43" s="207" t="e">
        <f t="shared" si="2"/>
        <v>#REF!</v>
      </c>
      <c r="S43" s="208" t="s">
        <v>129</v>
      </c>
      <c r="T43" s="209" t="s">
        <v>129</v>
      </c>
      <c r="U43" s="210" t="s">
        <v>129</v>
      </c>
      <c r="V43" s="211" t="s">
        <v>12</v>
      </c>
      <c r="W43" s="196" t="s">
        <v>129</v>
      </c>
      <c r="X43" s="212" t="e">
        <f t="shared" si="3"/>
        <v>#REF!</v>
      </c>
      <c r="Y43" s="213" t="s">
        <v>129</v>
      </c>
      <c r="Z43" s="214" t="s">
        <v>129</v>
      </c>
      <c r="AA43" s="78" t="s">
        <v>129</v>
      </c>
      <c r="AB43" s="215" t="s">
        <v>12</v>
      </c>
      <c r="AC43" s="216" t="e">
        <f t="shared" si="4"/>
        <v>#REF!</v>
      </c>
      <c r="AD43" s="198" t="s">
        <v>129</v>
      </c>
      <c r="AE43" s="217" t="s">
        <v>129</v>
      </c>
      <c r="AF43" s="200" t="s">
        <v>129</v>
      </c>
      <c r="AG43" s="218" t="s">
        <v>12</v>
      </c>
      <c r="AH43" s="219">
        <v>44803</v>
      </c>
      <c r="AI43" s="220" t="s">
        <v>129</v>
      </c>
      <c r="AJ43" s="221" t="s">
        <v>129</v>
      </c>
      <c r="AK43" s="222" t="s">
        <v>129</v>
      </c>
      <c r="AL43" s="223" t="s">
        <v>12</v>
      </c>
      <c r="AM43" s="224" t="e">
        <f t="shared" si="5"/>
        <v>#REF!</v>
      </c>
      <c r="AN43" s="196" t="s">
        <v>129</v>
      </c>
    </row>
    <row r="44" spans="1:40" ht="39.75" customHeight="1" x14ac:dyDescent="0.25">
      <c r="A44" s="195">
        <f t="shared" si="7"/>
        <v>32</v>
      </c>
      <c r="B44" s="110" t="e">
        <f>#REF!</f>
        <v>#REF!</v>
      </c>
      <c r="C44" s="111" t="e">
        <f>#REF!</f>
        <v>#REF!</v>
      </c>
      <c r="D44" s="112" t="e">
        <f>#REF!</f>
        <v>#REF!</v>
      </c>
      <c r="E44" s="113" t="e">
        <f>#REF!</f>
        <v>#REF!</v>
      </c>
      <c r="F44" s="196" t="s">
        <v>230</v>
      </c>
      <c r="G44" s="197" t="e">
        <f t="shared" si="0"/>
        <v>#REF!</v>
      </c>
      <c r="H44" s="198" t="s">
        <v>230</v>
      </c>
      <c r="I44" s="199" t="s">
        <v>230</v>
      </c>
      <c r="J44" s="200" t="s">
        <v>230</v>
      </c>
      <c r="K44" s="201" t="s">
        <v>12</v>
      </c>
      <c r="L44" s="202" t="e">
        <f t="shared" si="1"/>
        <v>#REF!</v>
      </c>
      <c r="M44" s="203" t="s">
        <v>230</v>
      </c>
      <c r="N44" s="204" t="s">
        <v>230</v>
      </c>
      <c r="O44" s="205" t="s">
        <v>230</v>
      </c>
      <c r="P44" s="206" t="s">
        <v>12</v>
      </c>
      <c r="Q44" s="196" t="s">
        <v>230</v>
      </c>
      <c r="R44" s="207" t="e">
        <f t="shared" si="2"/>
        <v>#REF!</v>
      </c>
      <c r="S44" s="208" t="s">
        <v>230</v>
      </c>
      <c r="T44" s="209" t="s">
        <v>230</v>
      </c>
      <c r="U44" s="210" t="s">
        <v>230</v>
      </c>
      <c r="V44" s="211" t="s">
        <v>12</v>
      </c>
      <c r="W44" s="196" t="s">
        <v>230</v>
      </c>
      <c r="X44" s="212" t="e">
        <f t="shared" si="3"/>
        <v>#REF!</v>
      </c>
      <c r="Y44" s="213" t="s">
        <v>230</v>
      </c>
      <c r="Z44" s="214" t="s">
        <v>230</v>
      </c>
      <c r="AA44" s="78" t="s">
        <v>230</v>
      </c>
      <c r="AB44" s="215" t="s">
        <v>12</v>
      </c>
      <c r="AC44" s="216" t="e">
        <f t="shared" si="4"/>
        <v>#REF!</v>
      </c>
      <c r="AD44" s="198" t="s">
        <v>230</v>
      </c>
      <c r="AE44" s="217" t="s">
        <v>230</v>
      </c>
      <c r="AF44" s="200" t="s">
        <v>230</v>
      </c>
      <c r="AG44" s="218" t="s">
        <v>12</v>
      </c>
      <c r="AH44" s="219">
        <v>44803</v>
      </c>
      <c r="AI44" s="220" t="s">
        <v>230</v>
      </c>
      <c r="AJ44" s="221" t="s">
        <v>230</v>
      </c>
      <c r="AK44" s="222" t="s">
        <v>230</v>
      </c>
      <c r="AL44" s="223" t="s">
        <v>12</v>
      </c>
      <c r="AM44" s="224" t="e">
        <f t="shared" si="5"/>
        <v>#REF!</v>
      </c>
      <c r="AN44" s="196" t="s">
        <v>230</v>
      </c>
    </row>
    <row r="45" spans="1:40" ht="39.75" customHeight="1" x14ac:dyDescent="0.25">
      <c r="A45" s="195">
        <f t="shared" si="7"/>
        <v>33</v>
      </c>
      <c r="B45" s="110" t="e">
        <f>#REF!</f>
        <v>#REF!</v>
      </c>
      <c r="C45" s="111" t="e">
        <f>#REF!</f>
        <v>#REF!</v>
      </c>
      <c r="D45" s="112" t="e">
        <f>#REF!</f>
        <v>#REF!</v>
      </c>
      <c r="E45" s="113" t="e">
        <f>#REF!</f>
        <v>#REF!</v>
      </c>
      <c r="F45" s="196" t="s">
        <v>129</v>
      </c>
      <c r="G45" s="197" t="e">
        <f t="shared" si="0"/>
        <v>#REF!</v>
      </c>
      <c r="H45" s="198" t="s">
        <v>129</v>
      </c>
      <c r="I45" s="199" t="s">
        <v>129</v>
      </c>
      <c r="J45" s="200" t="s">
        <v>129</v>
      </c>
      <c r="K45" s="201" t="s">
        <v>12</v>
      </c>
      <c r="L45" s="202" t="e">
        <f t="shared" si="1"/>
        <v>#REF!</v>
      </c>
      <c r="M45" s="203" t="s">
        <v>129</v>
      </c>
      <c r="N45" s="204" t="s">
        <v>129</v>
      </c>
      <c r="O45" s="205" t="s">
        <v>129</v>
      </c>
      <c r="P45" s="206" t="s">
        <v>12</v>
      </c>
      <c r="Q45" s="196" t="s">
        <v>129</v>
      </c>
      <c r="R45" s="207" t="e">
        <f t="shared" si="2"/>
        <v>#REF!</v>
      </c>
      <c r="S45" s="208" t="s">
        <v>129</v>
      </c>
      <c r="T45" s="209" t="s">
        <v>129</v>
      </c>
      <c r="U45" s="210" t="s">
        <v>129</v>
      </c>
      <c r="V45" s="211" t="s">
        <v>12</v>
      </c>
      <c r="W45" s="196" t="s">
        <v>129</v>
      </c>
      <c r="X45" s="212" t="e">
        <f t="shared" si="3"/>
        <v>#REF!</v>
      </c>
      <c r="Y45" s="213" t="s">
        <v>129</v>
      </c>
      <c r="Z45" s="214" t="s">
        <v>129</v>
      </c>
      <c r="AA45" s="78" t="s">
        <v>129</v>
      </c>
      <c r="AB45" s="215" t="s">
        <v>12</v>
      </c>
      <c r="AC45" s="216" t="e">
        <f t="shared" si="4"/>
        <v>#REF!</v>
      </c>
      <c r="AD45" s="198" t="s">
        <v>129</v>
      </c>
      <c r="AE45" s="217" t="s">
        <v>129</v>
      </c>
      <c r="AF45" s="200" t="s">
        <v>129</v>
      </c>
      <c r="AG45" s="218" t="s">
        <v>12</v>
      </c>
      <c r="AH45" s="219">
        <v>44803</v>
      </c>
      <c r="AI45" s="220" t="s">
        <v>129</v>
      </c>
      <c r="AJ45" s="221" t="s">
        <v>129</v>
      </c>
      <c r="AK45" s="222" t="s">
        <v>129</v>
      </c>
      <c r="AL45" s="223" t="s">
        <v>12</v>
      </c>
      <c r="AM45" s="224" t="e">
        <f t="shared" si="5"/>
        <v>#REF!</v>
      </c>
      <c r="AN45" s="196" t="s">
        <v>129</v>
      </c>
    </row>
    <row r="46" spans="1:40" ht="39.75" customHeight="1" x14ac:dyDescent="0.25">
      <c r="A46" s="195">
        <f t="shared" si="7"/>
        <v>34</v>
      </c>
      <c r="B46" s="110" t="e">
        <f>#REF!</f>
        <v>#REF!</v>
      </c>
      <c r="C46" s="111" t="e">
        <f>#REF!</f>
        <v>#REF!</v>
      </c>
      <c r="D46" s="112" t="e">
        <f>#REF!</f>
        <v>#REF!</v>
      </c>
      <c r="E46" s="113" t="e">
        <f>#REF!</f>
        <v>#REF!</v>
      </c>
      <c r="F46" s="196" t="s">
        <v>230</v>
      </c>
      <c r="G46" s="197" t="e">
        <f t="shared" si="0"/>
        <v>#REF!</v>
      </c>
      <c r="H46" s="198" t="s">
        <v>230</v>
      </c>
      <c r="I46" s="199" t="s">
        <v>230</v>
      </c>
      <c r="J46" s="200" t="s">
        <v>230</v>
      </c>
      <c r="K46" s="201" t="s">
        <v>12</v>
      </c>
      <c r="L46" s="202" t="e">
        <f t="shared" si="1"/>
        <v>#REF!</v>
      </c>
      <c r="M46" s="203" t="s">
        <v>230</v>
      </c>
      <c r="N46" s="204" t="s">
        <v>230</v>
      </c>
      <c r="O46" s="205" t="s">
        <v>230</v>
      </c>
      <c r="P46" s="206" t="s">
        <v>12</v>
      </c>
      <c r="Q46" s="196" t="s">
        <v>230</v>
      </c>
      <c r="R46" s="207" t="e">
        <f t="shared" si="2"/>
        <v>#REF!</v>
      </c>
      <c r="S46" s="208" t="s">
        <v>230</v>
      </c>
      <c r="T46" s="209" t="s">
        <v>230</v>
      </c>
      <c r="U46" s="210" t="s">
        <v>230</v>
      </c>
      <c r="V46" s="211" t="s">
        <v>12</v>
      </c>
      <c r="W46" s="196" t="s">
        <v>230</v>
      </c>
      <c r="X46" s="212" t="e">
        <f t="shared" si="3"/>
        <v>#REF!</v>
      </c>
      <c r="Y46" s="213" t="s">
        <v>230</v>
      </c>
      <c r="Z46" s="214" t="s">
        <v>230</v>
      </c>
      <c r="AA46" s="78" t="s">
        <v>230</v>
      </c>
      <c r="AB46" s="215" t="s">
        <v>12</v>
      </c>
      <c r="AC46" s="216" t="e">
        <f t="shared" si="4"/>
        <v>#REF!</v>
      </c>
      <c r="AD46" s="198" t="s">
        <v>230</v>
      </c>
      <c r="AE46" s="217" t="s">
        <v>230</v>
      </c>
      <c r="AF46" s="200" t="s">
        <v>230</v>
      </c>
      <c r="AG46" s="218" t="s">
        <v>12</v>
      </c>
      <c r="AH46" s="219">
        <v>44803</v>
      </c>
      <c r="AI46" s="220" t="s">
        <v>230</v>
      </c>
      <c r="AJ46" s="221" t="s">
        <v>230</v>
      </c>
      <c r="AK46" s="222" t="s">
        <v>230</v>
      </c>
      <c r="AL46" s="223" t="s">
        <v>12</v>
      </c>
      <c r="AM46" s="224" t="e">
        <f t="shared" si="5"/>
        <v>#REF!</v>
      </c>
      <c r="AN46" s="196" t="s">
        <v>230</v>
      </c>
    </row>
    <row r="47" spans="1:40" ht="39.75" customHeight="1" x14ac:dyDescent="0.25">
      <c r="A47" s="195">
        <f t="shared" si="7"/>
        <v>35</v>
      </c>
      <c r="B47" s="110" t="e">
        <f>#REF!</f>
        <v>#REF!</v>
      </c>
      <c r="C47" s="111" t="e">
        <f>#REF!</f>
        <v>#REF!</v>
      </c>
      <c r="D47" s="112" t="e">
        <f>#REF!</f>
        <v>#REF!</v>
      </c>
      <c r="E47" s="113" t="e">
        <f>#REF!</f>
        <v>#REF!</v>
      </c>
      <c r="F47" s="196" t="s">
        <v>129</v>
      </c>
      <c r="G47" s="197" t="e">
        <f t="shared" si="0"/>
        <v>#REF!</v>
      </c>
      <c r="H47" s="198" t="s">
        <v>129</v>
      </c>
      <c r="I47" s="199" t="s">
        <v>129</v>
      </c>
      <c r="J47" s="200" t="s">
        <v>129</v>
      </c>
      <c r="K47" s="201" t="s">
        <v>12</v>
      </c>
      <c r="L47" s="202" t="e">
        <f t="shared" si="1"/>
        <v>#REF!</v>
      </c>
      <c r="M47" s="203" t="s">
        <v>129</v>
      </c>
      <c r="N47" s="204" t="s">
        <v>129</v>
      </c>
      <c r="O47" s="205" t="s">
        <v>129</v>
      </c>
      <c r="P47" s="206" t="s">
        <v>12</v>
      </c>
      <c r="Q47" s="196" t="s">
        <v>129</v>
      </c>
      <c r="R47" s="207" t="e">
        <f t="shared" si="2"/>
        <v>#REF!</v>
      </c>
      <c r="S47" s="208" t="s">
        <v>129</v>
      </c>
      <c r="T47" s="209" t="s">
        <v>129</v>
      </c>
      <c r="U47" s="210" t="s">
        <v>129</v>
      </c>
      <c r="V47" s="211" t="s">
        <v>12</v>
      </c>
      <c r="W47" s="196" t="s">
        <v>129</v>
      </c>
      <c r="X47" s="212" t="e">
        <f t="shared" si="3"/>
        <v>#REF!</v>
      </c>
      <c r="Y47" s="213" t="s">
        <v>129</v>
      </c>
      <c r="Z47" s="214" t="s">
        <v>129</v>
      </c>
      <c r="AA47" s="78" t="s">
        <v>129</v>
      </c>
      <c r="AB47" s="215" t="s">
        <v>12</v>
      </c>
      <c r="AC47" s="216" t="e">
        <f t="shared" si="4"/>
        <v>#REF!</v>
      </c>
      <c r="AD47" s="198" t="s">
        <v>129</v>
      </c>
      <c r="AE47" s="217" t="s">
        <v>129</v>
      </c>
      <c r="AF47" s="200" t="s">
        <v>129</v>
      </c>
      <c r="AG47" s="218" t="s">
        <v>12</v>
      </c>
      <c r="AH47" s="219">
        <v>44803</v>
      </c>
      <c r="AI47" s="220" t="s">
        <v>129</v>
      </c>
      <c r="AJ47" s="221" t="s">
        <v>129</v>
      </c>
      <c r="AK47" s="222" t="s">
        <v>129</v>
      </c>
      <c r="AL47" s="223" t="s">
        <v>12</v>
      </c>
      <c r="AM47" s="224" t="e">
        <f t="shared" si="5"/>
        <v>#REF!</v>
      </c>
      <c r="AN47" s="196" t="s">
        <v>129</v>
      </c>
    </row>
    <row r="48" spans="1:40" ht="39.75" customHeight="1" x14ac:dyDescent="0.25">
      <c r="A48" s="195">
        <f t="shared" si="7"/>
        <v>36</v>
      </c>
      <c r="B48" s="110" t="e">
        <f>#REF!</f>
        <v>#REF!</v>
      </c>
      <c r="C48" s="111" t="e">
        <f>#REF!</f>
        <v>#REF!</v>
      </c>
      <c r="D48" s="112" t="e">
        <f>#REF!</f>
        <v>#REF!</v>
      </c>
      <c r="E48" s="113" t="e">
        <f>#REF!</f>
        <v>#REF!</v>
      </c>
      <c r="F48" s="196" t="s">
        <v>230</v>
      </c>
      <c r="G48" s="197" t="e">
        <f t="shared" si="0"/>
        <v>#REF!</v>
      </c>
      <c r="H48" s="198" t="s">
        <v>230</v>
      </c>
      <c r="I48" s="199" t="s">
        <v>230</v>
      </c>
      <c r="J48" s="200" t="s">
        <v>230</v>
      </c>
      <c r="K48" s="201" t="s">
        <v>12</v>
      </c>
      <c r="L48" s="202" t="e">
        <f t="shared" si="1"/>
        <v>#REF!</v>
      </c>
      <c r="M48" s="203" t="s">
        <v>230</v>
      </c>
      <c r="N48" s="204" t="s">
        <v>230</v>
      </c>
      <c r="O48" s="205" t="s">
        <v>230</v>
      </c>
      <c r="P48" s="206" t="s">
        <v>12</v>
      </c>
      <c r="Q48" s="196" t="s">
        <v>230</v>
      </c>
      <c r="R48" s="207" t="e">
        <f t="shared" si="2"/>
        <v>#REF!</v>
      </c>
      <c r="S48" s="208" t="s">
        <v>230</v>
      </c>
      <c r="T48" s="209" t="s">
        <v>230</v>
      </c>
      <c r="U48" s="210" t="s">
        <v>230</v>
      </c>
      <c r="V48" s="211" t="s">
        <v>12</v>
      </c>
      <c r="W48" s="196" t="s">
        <v>230</v>
      </c>
      <c r="X48" s="212" t="e">
        <f t="shared" si="3"/>
        <v>#REF!</v>
      </c>
      <c r="Y48" s="213" t="s">
        <v>230</v>
      </c>
      <c r="Z48" s="214" t="s">
        <v>230</v>
      </c>
      <c r="AA48" s="78" t="s">
        <v>230</v>
      </c>
      <c r="AB48" s="215" t="s">
        <v>12</v>
      </c>
      <c r="AC48" s="216" t="e">
        <f t="shared" si="4"/>
        <v>#REF!</v>
      </c>
      <c r="AD48" s="198" t="s">
        <v>230</v>
      </c>
      <c r="AE48" s="217" t="s">
        <v>230</v>
      </c>
      <c r="AF48" s="200" t="s">
        <v>230</v>
      </c>
      <c r="AG48" s="218" t="s">
        <v>12</v>
      </c>
      <c r="AH48" s="219">
        <v>44803</v>
      </c>
      <c r="AI48" s="220" t="s">
        <v>230</v>
      </c>
      <c r="AJ48" s="221" t="s">
        <v>230</v>
      </c>
      <c r="AK48" s="222" t="s">
        <v>230</v>
      </c>
      <c r="AL48" s="223" t="s">
        <v>12</v>
      </c>
      <c r="AM48" s="224" t="e">
        <f t="shared" si="5"/>
        <v>#REF!</v>
      </c>
      <c r="AN48" s="196" t="s">
        <v>230</v>
      </c>
    </row>
    <row r="49" spans="1:40" ht="39.75" customHeight="1" x14ac:dyDescent="0.25">
      <c r="A49" s="195">
        <f t="shared" si="7"/>
        <v>37</v>
      </c>
      <c r="B49" s="110" t="e">
        <f>#REF!</f>
        <v>#REF!</v>
      </c>
      <c r="C49" s="111" t="e">
        <f>#REF!</f>
        <v>#REF!</v>
      </c>
      <c r="D49" s="112" t="e">
        <f>#REF!</f>
        <v>#REF!</v>
      </c>
      <c r="E49" s="113" t="e">
        <f>#REF!</f>
        <v>#REF!</v>
      </c>
      <c r="F49" s="196" t="s">
        <v>129</v>
      </c>
      <c r="G49" s="197" t="e">
        <f t="shared" si="0"/>
        <v>#REF!</v>
      </c>
      <c r="H49" s="198" t="s">
        <v>129</v>
      </c>
      <c r="I49" s="199" t="s">
        <v>129</v>
      </c>
      <c r="J49" s="200" t="s">
        <v>129</v>
      </c>
      <c r="K49" s="201" t="s">
        <v>12</v>
      </c>
      <c r="L49" s="202" t="e">
        <f t="shared" si="1"/>
        <v>#REF!</v>
      </c>
      <c r="M49" s="203" t="s">
        <v>129</v>
      </c>
      <c r="N49" s="204" t="s">
        <v>129</v>
      </c>
      <c r="O49" s="205" t="s">
        <v>129</v>
      </c>
      <c r="P49" s="206" t="s">
        <v>12</v>
      </c>
      <c r="Q49" s="196" t="s">
        <v>129</v>
      </c>
      <c r="R49" s="207" t="e">
        <f t="shared" si="2"/>
        <v>#REF!</v>
      </c>
      <c r="S49" s="208" t="s">
        <v>129</v>
      </c>
      <c r="T49" s="209" t="s">
        <v>129</v>
      </c>
      <c r="U49" s="210" t="s">
        <v>129</v>
      </c>
      <c r="V49" s="211" t="s">
        <v>12</v>
      </c>
      <c r="W49" s="196" t="s">
        <v>129</v>
      </c>
      <c r="X49" s="212" t="e">
        <f t="shared" si="3"/>
        <v>#REF!</v>
      </c>
      <c r="Y49" s="213" t="s">
        <v>129</v>
      </c>
      <c r="Z49" s="214" t="s">
        <v>129</v>
      </c>
      <c r="AA49" s="78" t="s">
        <v>129</v>
      </c>
      <c r="AB49" s="215" t="s">
        <v>12</v>
      </c>
      <c r="AC49" s="216" t="e">
        <f t="shared" si="4"/>
        <v>#REF!</v>
      </c>
      <c r="AD49" s="198" t="s">
        <v>129</v>
      </c>
      <c r="AE49" s="217" t="s">
        <v>129</v>
      </c>
      <c r="AF49" s="200" t="s">
        <v>129</v>
      </c>
      <c r="AG49" s="218" t="s">
        <v>12</v>
      </c>
      <c r="AH49" s="219">
        <v>44803</v>
      </c>
      <c r="AI49" s="220" t="s">
        <v>129</v>
      </c>
      <c r="AJ49" s="221" t="s">
        <v>129</v>
      </c>
      <c r="AK49" s="222" t="s">
        <v>129</v>
      </c>
      <c r="AL49" s="223" t="s">
        <v>12</v>
      </c>
      <c r="AM49" s="224" t="e">
        <f t="shared" si="5"/>
        <v>#REF!</v>
      </c>
      <c r="AN49" s="196" t="s">
        <v>129</v>
      </c>
    </row>
    <row r="50" spans="1:40" ht="39.75" customHeight="1" x14ac:dyDescent="0.25">
      <c r="A50" s="195">
        <f t="shared" si="7"/>
        <v>38</v>
      </c>
      <c r="B50" s="110" t="e">
        <f>#REF!</f>
        <v>#REF!</v>
      </c>
      <c r="C50" s="111" t="e">
        <f>#REF!</f>
        <v>#REF!</v>
      </c>
      <c r="D50" s="112" t="e">
        <f>#REF!</f>
        <v>#REF!</v>
      </c>
      <c r="E50" s="113" t="e">
        <f>#REF!</f>
        <v>#REF!</v>
      </c>
      <c r="F50" s="196" t="s">
        <v>230</v>
      </c>
      <c r="G50" s="197" t="e">
        <f t="shared" si="0"/>
        <v>#REF!</v>
      </c>
      <c r="H50" s="198" t="s">
        <v>230</v>
      </c>
      <c r="I50" s="199" t="s">
        <v>230</v>
      </c>
      <c r="J50" s="200" t="s">
        <v>230</v>
      </c>
      <c r="K50" s="201" t="s">
        <v>12</v>
      </c>
      <c r="L50" s="202" t="e">
        <f t="shared" si="1"/>
        <v>#REF!</v>
      </c>
      <c r="M50" s="203" t="s">
        <v>230</v>
      </c>
      <c r="N50" s="204" t="s">
        <v>230</v>
      </c>
      <c r="O50" s="205" t="s">
        <v>230</v>
      </c>
      <c r="P50" s="206" t="s">
        <v>12</v>
      </c>
      <c r="Q50" s="196" t="s">
        <v>230</v>
      </c>
      <c r="R50" s="207" t="e">
        <f t="shared" si="2"/>
        <v>#REF!</v>
      </c>
      <c r="S50" s="208" t="s">
        <v>230</v>
      </c>
      <c r="T50" s="209" t="s">
        <v>230</v>
      </c>
      <c r="U50" s="210" t="s">
        <v>230</v>
      </c>
      <c r="V50" s="211" t="s">
        <v>12</v>
      </c>
      <c r="W50" s="196" t="s">
        <v>230</v>
      </c>
      <c r="X50" s="212" t="e">
        <f t="shared" si="3"/>
        <v>#REF!</v>
      </c>
      <c r="Y50" s="213" t="s">
        <v>230</v>
      </c>
      <c r="Z50" s="214" t="s">
        <v>230</v>
      </c>
      <c r="AA50" s="78" t="s">
        <v>230</v>
      </c>
      <c r="AB50" s="215" t="s">
        <v>12</v>
      </c>
      <c r="AC50" s="216" t="e">
        <f t="shared" si="4"/>
        <v>#REF!</v>
      </c>
      <c r="AD50" s="198" t="s">
        <v>230</v>
      </c>
      <c r="AE50" s="217" t="s">
        <v>230</v>
      </c>
      <c r="AF50" s="200" t="s">
        <v>230</v>
      </c>
      <c r="AG50" s="218" t="s">
        <v>12</v>
      </c>
      <c r="AH50" s="219">
        <v>44803</v>
      </c>
      <c r="AI50" s="220" t="s">
        <v>230</v>
      </c>
      <c r="AJ50" s="221" t="s">
        <v>230</v>
      </c>
      <c r="AK50" s="222" t="s">
        <v>230</v>
      </c>
      <c r="AL50" s="223" t="s">
        <v>12</v>
      </c>
      <c r="AM50" s="224" t="e">
        <f t="shared" si="5"/>
        <v>#REF!</v>
      </c>
      <c r="AN50" s="196" t="s">
        <v>230</v>
      </c>
    </row>
    <row r="51" spans="1:40" ht="39.75" customHeight="1" x14ac:dyDescent="0.25">
      <c r="A51" s="195">
        <f t="shared" si="7"/>
        <v>39</v>
      </c>
      <c r="B51" s="110" t="e">
        <f>#REF!</f>
        <v>#REF!</v>
      </c>
      <c r="C51" s="111" t="e">
        <f>#REF!</f>
        <v>#REF!</v>
      </c>
      <c r="D51" s="112" t="e">
        <f>#REF!</f>
        <v>#REF!</v>
      </c>
      <c r="E51" s="113" t="e">
        <f>#REF!</f>
        <v>#REF!</v>
      </c>
      <c r="F51" s="196" t="s">
        <v>129</v>
      </c>
      <c r="G51" s="197" t="e">
        <f t="shared" si="0"/>
        <v>#REF!</v>
      </c>
      <c r="H51" s="198" t="s">
        <v>129</v>
      </c>
      <c r="I51" s="199" t="s">
        <v>129</v>
      </c>
      <c r="J51" s="200" t="s">
        <v>129</v>
      </c>
      <c r="K51" s="201" t="s">
        <v>12</v>
      </c>
      <c r="L51" s="202" t="e">
        <f t="shared" si="1"/>
        <v>#REF!</v>
      </c>
      <c r="M51" s="203" t="s">
        <v>129</v>
      </c>
      <c r="N51" s="204" t="s">
        <v>129</v>
      </c>
      <c r="O51" s="205" t="s">
        <v>129</v>
      </c>
      <c r="P51" s="206" t="s">
        <v>12</v>
      </c>
      <c r="Q51" s="196" t="s">
        <v>129</v>
      </c>
      <c r="R51" s="207" t="e">
        <f t="shared" si="2"/>
        <v>#REF!</v>
      </c>
      <c r="S51" s="208" t="s">
        <v>129</v>
      </c>
      <c r="T51" s="209" t="s">
        <v>129</v>
      </c>
      <c r="U51" s="210" t="s">
        <v>129</v>
      </c>
      <c r="V51" s="211" t="s">
        <v>12</v>
      </c>
      <c r="W51" s="196" t="s">
        <v>129</v>
      </c>
      <c r="X51" s="212" t="e">
        <f t="shared" si="3"/>
        <v>#REF!</v>
      </c>
      <c r="Y51" s="213" t="s">
        <v>129</v>
      </c>
      <c r="Z51" s="214" t="s">
        <v>129</v>
      </c>
      <c r="AA51" s="78" t="s">
        <v>129</v>
      </c>
      <c r="AB51" s="215" t="s">
        <v>12</v>
      </c>
      <c r="AC51" s="216" t="e">
        <f t="shared" si="4"/>
        <v>#REF!</v>
      </c>
      <c r="AD51" s="198" t="s">
        <v>129</v>
      </c>
      <c r="AE51" s="217" t="s">
        <v>129</v>
      </c>
      <c r="AF51" s="200" t="s">
        <v>129</v>
      </c>
      <c r="AG51" s="218" t="s">
        <v>12</v>
      </c>
      <c r="AH51" s="219">
        <v>44803</v>
      </c>
      <c r="AI51" s="220" t="s">
        <v>129</v>
      </c>
      <c r="AJ51" s="221" t="s">
        <v>129</v>
      </c>
      <c r="AK51" s="222" t="s">
        <v>129</v>
      </c>
      <c r="AL51" s="223" t="s">
        <v>12</v>
      </c>
      <c r="AM51" s="224" t="e">
        <f t="shared" si="5"/>
        <v>#REF!</v>
      </c>
      <c r="AN51" s="196" t="s">
        <v>129</v>
      </c>
    </row>
    <row r="52" spans="1:40" ht="39.75" customHeight="1" x14ac:dyDescent="0.25">
      <c r="A52" s="195">
        <f t="shared" si="7"/>
        <v>40</v>
      </c>
      <c r="B52" s="110" t="e">
        <f>#REF!</f>
        <v>#REF!</v>
      </c>
      <c r="C52" s="111" t="e">
        <f>#REF!</f>
        <v>#REF!</v>
      </c>
      <c r="D52" s="112" t="e">
        <f>#REF!</f>
        <v>#REF!</v>
      </c>
      <c r="E52" s="113" t="e">
        <f>#REF!</f>
        <v>#REF!</v>
      </c>
      <c r="F52" s="196" t="s">
        <v>230</v>
      </c>
      <c r="G52" s="197" t="e">
        <f t="shared" si="0"/>
        <v>#REF!</v>
      </c>
      <c r="H52" s="198" t="s">
        <v>230</v>
      </c>
      <c r="I52" s="199" t="s">
        <v>230</v>
      </c>
      <c r="J52" s="200" t="s">
        <v>230</v>
      </c>
      <c r="K52" s="201" t="s">
        <v>12</v>
      </c>
      <c r="L52" s="202" t="e">
        <f t="shared" si="1"/>
        <v>#REF!</v>
      </c>
      <c r="M52" s="203" t="s">
        <v>230</v>
      </c>
      <c r="N52" s="204" t="s">
        <v>230</v>
      </c>
      <c r="O52" s="205" t="s">
        <v>230</v>
      </c>
      <c r="P52" s="206" t="s">
        <v>12</v>
      </c>
      <c r="Q52" s="196" t="s">
        <v>230</v>
      </c>
      <c r="R52" s="207" t="e">
        <f t="shared" si="2"/>
        <v>#REF!</v>
      </c>
      <c r="S52" s="208" t="s">
        <v>230</v>
      </c>
      <c r="T52" s="209" t="s">
        <v>230</v>
      </c>
      <c r="U52" s="210" t="s">
        <v>230</v>
      </c>
      <c r="V52" s="211" t="s">
        <v>12</v>
      </c>
      <c r="W52" s="196" t="s">
        <v>230</v>
      </c>
      <c r="X52" s="212" t="e">
        <f t="shared" si="3"/>
        <v>#REF!</v>
      </c>
      <c r="Y52" s="213" t="s">
        <v>230</v>
      </c>
      <c r="Z52" s="214" t="s">
        <v>230</v>
      </c>
      <c r="AA52" s="78" t="s">
        <v>230</v>
      </c>
      <c r="AB52" s="215" t="s">
        <v>12</v>
      </c>
      <c r="AC52" s="216" t="e">
        <f t="shared" si="4"/>
        <v>#REF!</v>
      </c>
      <c r="AD52" s="198" t="s">
        <v>230</v>
      </c>
      <c r="AE52" s="217" t="s">
        <v>230</v>
      </c>
      <c r="AF52" s="200" t="s">
        <v>230</v>
      </c>
      <c r="AG52" s="218" t="s">
        <v>12</v>
      </c>
      <c r="AH52" s="219">
        <v>44803</v>
      </c>
      <c r="AI52" s="220" t="s">
        <v>230</v>
      </c>
      <c r="AJ52" s="221" t="s">
        <v>230</v>
      </c>
      <c r="AK52" s="222" t="s">
        <v>230</v>
      </c>
      <c r="AL52" s="223" t="s">
        <v>12</v>
      </c>
      <c r="AM52" s="224" t="e">
        <f t="shared" si="5"/>
        <v>#REF!</v>
      </c>
      <c r="AN52" s="196" t="s">
        <v>230</v>
      </c>
    </row>
    <row r="53" spans="1:40" ht="39.75" customHeight="1" x14ac:dyDescent="0.25">
      <c r="A53" s="195">
        <f t="shared" si="7"/>
        <v>41</v>
      </c>
      <c r="B53" s="110" t="e">
        <f>#REF!</f>
        <v>#REF!</v>
      </c>
      <c r="C53" s="111" t="e">
        <f>#REF!</f>
        <v>#REF!</v>
      </c>
      <c r="D53" s="112" t="e">
        <f>#REF!</f>
        <v>#REF!</v>
      </c>
      <c r="E53" s="113" t="e">
        <f>#REF!</f>
        <v>#REF!</v>
      </c>
      <c r="F53" s="196" t="s">
        <v>129</v>
      </c>
      <c r="G53" s="197" t="e">
        <f t="shared" si="0"/>
        <v>#REF!</v>
      </c>
      <c r="H53" s="198" t="s">
        <v>129</v>
      </c>
      <c r="I53" s="199" t="s">
        <v>129</v>
      </c>
      <c r="J53" s="200" t="s">
        <v>129</v>
      </c>
      <c r="K53" s="201" t="s">
        <v>12</v>
      </c>
      <c r="L53" s="202" t="e">
        <f t="shared" si="1"/>
        <v>#REF!</v>
      </c>
      <c r="M53" s="203" t="s">
        <v>129</v>
      </c>
      <c r="N53" s="204" t="s">
        <v>129</v>
      </c>
      <c r="O53" s="205" t="s">
        <v>129</v>
      </c>
      <c r="P53" s="206" t="s">
        <v>12</v>
      </c>
      <c r="Q53" s="196" t="s">
        <v>129</v>
      </c>
      <c r="R53" s="207" t="e">
        <f t="shared" si="2"/>
        <v>#REF!</v>
      </c>
      <c r="S53" s="208" t="s">
        <v>129</v>
      </c>
      <c r="T53" s="209" t="s">
        <v>129</v>
      </c>
      <c r="U53" s="210" t="s">
        <v>129</v>
      </c>
      <c r="V53" s="211" t="s">
        <v>12</v>
      </c>
      <c r="W53" s="196" t="s">
        <v>129</v>
      </c>
      <c r="X53" s="212" t="e">
        <f t="shared" si="3"/>
        <v>#REF!</v>
      </c>
      <c r="Y53" s="213" t="s">
        <v>129</v>
      </c>
      <c r="Z53" s="214" t="s">
        <v>129</v>
      </c>
      <c r="AA53" s="78" t="s">
        <v>129</v>
      </c>
      <c r="AB53" s="215" t="s">
        <v>12</v>
      </c>
      <c r="AC53" s="216" t="e">
        <f t="shared" si="4"/>
        <v>#REF!</v>
      </c>
      <c r="AD53" s="198" t="s">
        <v>129</v>
      </c>
      <c r="AE53" s="217" t="s">
        <v>129</v>
      </c>
      <c r="AF53" s="200" t="s">
        <v>129</v>
      </c>
      <c r="AG53" s="218" t="s">
        <v>12</v>
      </c>
      <c r="AH53" s="219">
        <v>44803</v>
      </c>
      <c r="AI53" s="220" t="s">
        <v>129</v>
      </c>
      <c r="AJ53" s="221" t="s">
        <v>129</v>
      </c>
      <c r="AK53" s="222" t="s">
        <v>129</v>
      </c>
      <c r="AL53" s="223" t="s">
        <v>12</v>
      </c>
      <c r="AM53" s="224" t="e">
        <f t="shared" si="5"/>
        <v>#REF!</v>
      </c>
      <c r="AN53" s="196" t="s">
        <v>129</v>
      </c>
    </row>
    <row r="54" spans="1:40" ht="39.75" customHeight="1" x14ac:dyDescent="0.25">
      <c r="A54" s="195">
        <f t="shared" si="7"/>
        <v>42</v>
      </c>
      <c r="B54" s="110" t="e">
        <f>#REF!</f>
        <v>#REF!</v>
      </c>
      <c r="C54" s="111" t="e">
        <f>#REF!</f>
        <v>#REF!</v>
      </c>
      <c r="D54" s="112" t="e">
        <f>#REF!</f>
        <v>#REF!</v>
      </c>
      <c r="E54" s="113" t="e">
        <f>#REF!</f>
        <v>#REF!</v>
      </c>
      <c r="F54" s="196" t="s">
        <v>230</v>
      </c>
      <c r="G54" s="197" t="e">
        <f t="shared" si="0"/>
        <v>#REF!</v>
      </c>
      <c r="H54" s="198" t="s">
        <v>230</v>
      </c>
      <c r="I54" s="199" t="s">
        <v>230</v>
      </c>
      <c r="J54" s="200" t="s">
        <v>230</v>
      </c>
      <c r="K54" s="201" t="s">
        <v>12</v>
      </c>
      <c r="L54" s="202" t="e">
        <f t="shared" si="1"/>
        <v>#REF!</v>
      </c>
      <c r="M54" s="203" t="s">
        <v>230</v>
      </c>
      <c r="N54" s="204" t="s">
        <v>230</v>
      </c>
      <c r="O54" s="205" t="s">
        <v>230</v>
      </c>
      <c r="P54" s="206" t="s">
        <v>12</v>
      </c>
      <c r="Q54" s="196" t="s">
        <v>230</v>
      </c>
      <c r="R54" s="207" t="e">
        <f t="shared" si="2"/>
        <v>#REF!</v>
      </c>
      <c r="S54" s="208" t="s">
        <v>230</v>
      </c>
      <c r="T54" s="209" t="s">
        <v>230</v>
      </c>
      <c r="U54" s="210" t="s">
        <v>230</v>
      </c>
      <c r="V54" s="211" t="s">
        <v>12</v>
      </c>
      <c r="W54" s="196" t="s">
        <v>230</v>
      </c>
      <c r="X54" s="212" t="e">
        <f t="shared" si="3"/>
        <v>#REF!</v>
      </c>
      <c r="Y54" s="213" t="s">
        <v>230</v>
      </c>
      <c r="Z54" s="214" t="s">
        <v>230</v>
      </c>
      <c r="AA54" s="78" t="s">
        <v>230</v>
      </c>
      <c r="AB54" s="215" t="s">
        <v>12</v>
      </c>
      <c r="AC54" s="216" t="e">
        <f t="shared" si="4"/>
        <v>#REF!</v>
      </c>
      <c r="AD54" s="198" t="s">
        <v>230</v>
      </c>
      <c r="AE54" s="217" t="s">
        <v>230</v>
      </c>
      <c r="AF54" s="200" t="s">
        <v>230</v>
      </c>
      <c r="AG54" s="218" t="s">
        <v>12</v>
      </c>
      <c r="AH54" s="219">
        <v>44803</v>
      </c>
      <c r="AI54" s="220" t="s">
        <v>230</v>
      </c>
      <c r="AJ54" s="221" t="s">
        <v>230</v>
      </c>
      <c r="AK54" s="222" t="s">
        <v>230</v>
      </c>
      <c r="AL54" s="223" t="s">
        <v>12</v>
      </c>
      <c r="AM54" s="224" t="e">
        <f t="shared" si="5"/>
        <v>#REF!</v>
      </c>
      <c r="AN54" s="196" t="s">
        <v>230</v>
      </c>
    </row>
    <row r="55" spans="1:40" ht="39.75" customHeight="1" x14ac:dyDescent="0.25">
      <c r="A55" s="195">
        <f t="shared" si="7"/>
        <v>43</v>
      </c>
      <c r="B55" s="110" t="e">
        <f>#REF!</f>
        <v>#REF!</v>
      </c>
      <c r="C55" s="111" t="e">
        <f>#REF!</f>
        <v>#REF!</v>
      </c>
      <c r="D55" s="112" t="e">
        <f>#REF!</f>
        <v>#REF!</v>
      </c>
      <c r="E55" s="113" t="e">
        <f>#REF!</f>
        <v>#REF!</v>
      </c>
      <c r="F55" s="196" t="s">
        <v>129</v>
      </c>
      <c r="G55" s="197" t="e">
        <f t="shared" si="0"/>
        <v>#REF!</v>
      </c>
      <c r="H55" s="198" t="s">
        <v>129</v>
      </c>
      <c r="I55" s="199" t="s">
        <v>129</v>
      </c>
      <c r="J55" s="200" t="s">
        <v>129</v>
      </c>
      <c r="K55" s="201" t="s">
        <v>12</v>
      </c>
      <c r="L55" s="202" t="e">
        <f t="shared" si="1"/>
        <v>#REF!</v>
      </c>
      <c r="M55" s="203" t="s">
        <v>129</v>
      </c>
      <c r="N55" s="204" t="s">
        <v>129</v>
      </c>
      <c r="O55" s="205" t="s">
        <v>129</v>
      </c>
      <c r="P55" s="206" t="s">
        <v>12</v>
      </c>
      <c r="Q55" s="196" t="s">
        <v>129</v>
      </c>
      <c r="R55" s="207" t="e">
        <f t="shared" si="2"/>
        <v>#REF!</v>
      </c>
      <c r="S55" s="208" t="s">
        <v>129</v>
      </c>
      <c r="T55" s="209" t="s">
        <v>129</v>
      </c>
      <c r="U55" s="210" t="s">
        <v>129</v>
      </c>
      <c r="V55" s="211" t="s">
        <v>12</v>
      </c>
      <c r="W55" s="196" t="s">
        <v>129</v>
      </c>
      <c r="X55" s="212" t="e">
        <f t="shared" si="3"/>
        <v>#REF!</v>
      </c>
      <c r="Y55" s="213" t="s">
        <v>129</v>
      </c>
      <c r="Z55" s="214" t="s">
        <v>129</v>
      </c>
      <c r="AA55" s="78" t="s">
        <v>129</v>
      </c>
      <c r="AB55" s="215" t="s">
        <v>12</v>
      </c>
      <c r="AC55" s="216" t="e">
        <f t="shared" si="4"/>
        <v>#REF!</v>
      </c>
      <c r="AD55" s="198" t="s">
        <v>129</v>
      </c>
      <c r="AE55" s="217" t="s">
        <v>129</v>
      </c>
      <c r="AF55" s="200" t="s">
        <v>129</v>
      </c>
      <c r="AG55" s="218" t="s">
        <v>12</v>
      </c>
      <c r="AH55" s="219">
        <v>44803</v>
      </c>
      <c r="AI55" s="220" t="s">
        <v>129</v>
      </c>
      <c r="AJ55" s="221" t="s">
        <v>129</v>
      </c>
      <c r="AK55" s="222" t="s">
        <v>129</v>
      </c>
      <c r="AL55" s="223" t="s">
        <v>12</v>
      </c>
      <c r="AM55" s="224" t="e">
        <f t="shared" si="5"/>
        <v>#REF!</v>
      </c>
      <c r="AN55" s="196" t="s">
        <v>129</v>
      </c>
    </row>
    <row r="56" spans="1:40" ht="39.75" customHeight="1" x14ac:dyDescent="0.25">
      <c r="A56" s="195">
        <f t="shared" si="7"/>
        <v>44</v>
      </c>
      <c r="B56" s="110" t="e">
        <f>#REF!</f>
        <v>#REF!</v>
      </c>
      <c r="C56" s="111" t="e">
        <f>#REF!</f>
        <v>#REF!</v>
      </c>
      <c r="D56" s="112" t="e">
        <f>#REF!</f>
        <v>#REF!</v>
      </c>
      <c r="E56" s="113" t="e">
        <f>#REF!</f>
        <v>#REF!</v>
      </c>
      <c r="F56" s="196" t="s">
        <v>230</v>
      </c>
      <c r="G56" s="197" t="e">
        <f t="shared" si="0"/>
        <v>#REF!</v>
      </c>
      <c r="H56" s="198" t="s">
        <v>230</v>
      </c>
      <c r="I56" s="199" t="s">
        <v>230</v>
      </c>
      <c r="J56" s="200" t="s">
        <v>230</v>
      </c>
      <c r="K56" s="201" t="s">
        <v>12</v>
      </c>
      <c r="L56" s="202" t="e">
        <f t="shared" si="1"/>
        <v>#REF!</v>
      </c>
      <c r="M56" s="203" t="s">
        <v>230</v>
      </c>
      <c r="N56" s="204" t="s">
        <v>230</v>
      </c>
      <c r="O56" s="205" t="s">
        <v>230</v>
      </c>
      <c r="P56" s="206" t="s">
        <v>12</v>
      </c>
      <c r="Q56" s="196" t="s">
        <v>230</v>
      </c>
      <c r="R56" s="207" t="e">
        <f t="shared" si="2"/>
        <v>#REF!</v>
      </c>
      <c r="S56" s="208" t="s">
        <v>230</v>
      </c>
      <c r="T56" s="209" t="s">
        <v>230</v>
      </c>
      <c r="U56" s="210" t="s">
        <v>230</v>
      </c>
      <c r="V56" s="211" t="s">
        <v>12</v>
      </c>
      <c r="W56" s="196" t="s">
        <v>230</v>
      </c>
      <c r="X56" s="212" t="e">
        <f t="shared" si="3"/>
        <v>#REF!</v>
      </c>
      <c r="Y56" s="213" t="s">
        <v>230</v>
      </c>
      <c r="Z56" s="214" t="s">
        <v>230</v>
      </c>
      <c r="AA56" s="78" t="s">
        <v>230</v>
      </c>
      <c r="AB56" s="215" t="s">
        <v>12</v>
      </c>
      <c r="AC56" s="216" t="e">
        <f t="shared" si="4"/>
        <v>#REF!</v>
      </c>
      <c r="AD56" s="198" t="s">
        <v>230</v>
      </c>
      <c r="AE56" s="217" t="s">
        <v>230</v>
      </c>
      <c r="AF56" s="200" t="s">
        <v>230</v>
      </c>
      <c r="AG56" s="218" t="s">
        <v>12</v>
      </c>
      <c r="AH56" s="219">
        <v>44803</v>
      </c>
      <c r="AI56" s="220" t="s">
        <v>230</v>
      </c>
      <c r="AJ56" s="221" t="s">
        <v>230</v>
      </c>
      <c r="AK56" s="222" t="s">
        <v>230</v>
      </c>
      <c r="AL56" s="223" t="s">
        <v>12</v>
      </c>
      <c r="AM56" s="224" t="e">
        <f t="shared" si="5"/>
        <v>#REF!</v>
      </c>
      <c r="AN56" s="196" t="s">
        <v>230</v>
      </c>
    </row>
    <row r="57" spans="1:40" ht="39.75" customHeight="1" x14ac:dyDescent="0.25">
      <c r="A57" s="195">
        <f t="shared" si="7"/>
        <v>45</v>
      </c>
      <c r="B57" s="110" t="e">
        <f>#REF!</f>
        <v>#REF!</v>
      </c>
      <c r="C57" s="111" t="e">
        <f>#REF!</f>
        <v>#REF!</v>
      </c>
      <c r="D57" s="112" t="e">
        <f>#REF!</f>
        <v>#REF!</v>
      </c>
      <c r="E57" s="113" t="e">
        <f>#REF!</f>
        <v>#REF!</v>
      </c>
      <c r="F57" s="196" t="s">
        <v>129</v>
      </c>
      <c r="G57" s="197" t="e">
        <f t="shared" si="0"/>
        <v>#REF!</v>
      </c>
      <c r="H57" s="198" t="s">
        <v>129</v>
      </c>
      <c r="I57" s="199" t="s">
        <v>129</v>
      </c>
      <c r="J57" s="200" t="s">
        <v>129</v>
      </c>
      <c r="K57" s="201" t="s">
        <v>12</v>
      </c>
      <c r="L57" s="202" t="e">
        <f t="shared" si="1"/>
        <v>#REF!</v>
      </c>
      <c r="M57" s="203" t="s">
        <v>129</v>
      </c>
      <c r="N57" s="204" t="s">
        <v>129</v>
      </c>
      <c r="O57" s="205" t="s">
        <v>129</v>
      </c>
      <c r="P57" s="206" t="s">
        <v>12</v>
      </c>
      <c r="Q57" s="196" t="s">
        <v>129</v>
      </c>
      <c r="R57" s="207" t="e">
        <f t="shared" si="2"/>
        <v>#REF!</v>
      </c>
      <c r="S57" s="208" t="s">
        <v>129</v>
      </c>
      <c r="T57" s="209" t="s">
        <v>129</v>
      </c>
      <c r="U57" s="210" t="s">
        <v>129</v>
      </c>
      <c r="V57" s="211" t="s">
        <v>12</v>
      </c>
      <c r="W57" s="196" t="s">
        <v>129</v>
      </c>
      <c r="X57" s="212" t="e">
        <f t="shared" si="3"/>
        <v>#REF!</v>
      </c>
      <c r="Y57" s="213" t="s">
        <v>129</v>
      </c>
      <c r="Z57" s="214" t="s">
        <v>129</v>
      </c>
      <c r="AA57" s="78" t="s">
        <v>129</v>
      </c>
      <c r="AB57" s="215" t="s">
        <v>12</v>
      </c>
      <c r="AC57" s="216" t="e">
        <f t="shared" si="4"/>
        <v>#REF!</v>
      </c>
      <c r="AD57" s="198" t="s">
        <v>129</v>
      </c>
      <c r="AE57" s="217" t="s">
        <v>129</v>
      </c>
      <c r="AF57" s="200" t="s">
        <v>129</v>
      </c>
      <c r="AG57" s="218" t="s">
        <v>12</v>
      </c>
      <c r="AH57" s="219">
        <v>44803</v>
      </c>
      <c r="AI57" s="220" t="s">
        <v>129</v>
      </c>
      <c r="AJ57" s="221" t="s">
        <v>129</v>
      </c>
      <c r="AK57" s="222" t="s">
        <v>129</v>
      </c>
      <c r="AL57" s="223" t="s">
        <v>12</v>
      </c>
      <c r="AM57" s="224" t="e">
        <f t="shared" si="5"/>
        <v>#REF!</v>
      </c>
      <c r="AN57" s="196" t="s">
        <v>129</v>
      </c>
    </row>
    <row r="58" spans="1:40" ht="39.75" customHeight="1" x14ac:dyDescent="0.25">
      <c r="A58" s="195">
        <f t="shared" si="7"/>
        <v>46</v>
      </c>
      <c r="B58" s="110" t="e">
        <f>#REF!</f>
        <v>#REF!</v>
      </c>
      <c r="C58" s="111" t="e">
        <f>#REF!</f>
        <v>#REF!</v>
      </c>
      <c r="D58" s="112" t="e">
        <f>#REF!</f>
        <v>#REF!</v>
      </c>
      <c r="E58" s="113" t="e">
        <f>#REF!</f>
        <v>#REF!</v>
      </c>
      <c r="F58" s="196" t="s">
        <v>230</v>
      </c>
      <c r="G58" s="197" t="e">
        <f t="shared" si="0"/>
        <v>#REF!</v>
      </c>
      <c r="H58" s="198" t="s">
        <v>230</v>
      </c>
      <c r="I58" s="199" t="s">
        <v>230</v>
      </c>
      <c r="J58" s="200" t="s">
        <v>230</v>
      </c>
      <c r="K58" s="201" t="s">
        <v>12</v>
      </c>
      <c r="L58" s="202" t="e">
        <f t="shared" si="1"/>
        <v>#REF!</v>
      </c>
      <c r="M58" s="203" t="s">
        <v>230</v>
      </c>
      <c r="N58" s="204" t="s">
        <v>230</v>
      </c>
      <c r="O58" s="205" t="s">
        <v>230</v>
      </c>
      <c r="P58" s="206" t="s">
        <v>12</v>
      </c>
      <c r="Q58" s="196" t="s">
        <v>230</v>
      </c>
      <c r="R58" s="207" t="e">
        <f t="shared" si="2"/>
        <v>#REF!</v>
      </c>
      <c r="S58" s="208" t="s">
        <v>230</v>
      </c>
      <c r="T58" s="209" t="s">
        <v>230</v>
      </c>
      <c r="U58" s="210" t="s">
        <v>230</v>
      </c>
      <c r="V58" s="211" t="s">
        <v>12</v>
      </c>
      <c r="W58" s="196" t="s">
        <v>230</v>
      </c>
      <c r="X58" s="212" t="e">
        <f t="shared" si="3"/>
        <v>#REF!</v>
      </c>
      <c r="Y58" s="213" t="s">
        <v>230</v>
      </c>
      <c r="Z58" s="214" t="s">
        <v>230</v>
      </c>
      <c r="AA58" s="78" t="s">
        <v>230</v>
      </c>
      <c r="AB58" s="215" t="s">
        <v>12</v>
      </c>
      <c r="AC58" s="216" t="e">
        <f t="shared" si="4"/>
        <v>#REF!</v>
      </c>
      <c r="AD58" s="198" t="s">
        <v>230</v>
      </c>
      <c r="AE58" s="217" t="s">
        <v>230</v>
      </c>
      <c r="AF58" s="200" t="s">
        <v>230</v>
      </c>
      <c r="AG58" s="218" t="s">
        <v>12</v>
      </c>
      <c r="AH58" s="219">
        <v>44803</v>
      </c>
      <c r="AI58" s="220" t="s">
        <v>230</v>
      </c>
      <c r="AJ58" s="221" t="s">
        <v>230</v>
      </c>
      <c r="AK58" s="222" t="s">
        <v>230</v>
      </c>
      <c r="AL58" s="223" t="s">
        <v>12</v>
      </c>
      <c r="AM58" s="224" t="e">
        <f t="shared" si="5"/>
        <v>#REF!</v>
      </c>
      <c r="AN58" s="196" t="s">
        <v>230</v>
      </c>
    </row>
    <row r="59" spans="1:40" ht="39.75" customHeight="1" x14ac:dyDescent="0.25">
      <c r="A59" s="195">
        <f t="shared" si="7"/>
        <v>47</v>
      </c>
      <c r="B59" s="110" t="e">
        <f>#REF!</f>
        <v>#REF!</v>
      </c>
      <c r="C59" s="111" t="e">
        <f>#REF!</f>
        <v>#REF!</v>
      </c>
      <c r="D59" s="112" t="e">
        <f>#REF!</f>
        <v>#REF!</v>
      </c>
      <c r="E59" s="113" t="e">
        <f>#REF!</f>
        <v>#REF!</v>
      </c>
      <c r="F59" s="196" t="s">
        <v>129</v>
      </c>
      <c r="G59" s="197" t="e">
        <f t="shared" si="0"/>
        <v>#REF!</v>
      </c>
      <c r="H59" s="198" t="s">
        <v>129</v>
      </c>
      <c r="I59" s="199" t="s">
        <v>129</v>
      </c>
      <c r="J59" s="200" t="s">
        <v>129</v>
      </c>
      <c r="K59" s="201" t="s">
        <v>12</v>
      </c>
      <c r="L59" s="202" t="e">
        <f t="shared" si="1"/>
        <v>#REF!</v>
      </c>
      <c r="M59" s="203" t="s">
        <v>129</v>
      </c>
      <c r="N59" s="204" t="s">
        <v>129</v>
      </c>
      <c r="O59" s="205" t="s">
        <v>129</v>
      </c>
      <c r="P59" s="206" t="s">
        <v>12</v>
      </c>
      <c r="Q59" s="196" t="s">
        <v>129</v>
      </c>
      <c r="R59" s="207" t="e">
        <f t="shared" si="2"/>
        <v>#REF!</v>
      </c>
      <c r="S59" s="208" t="s">
        <v>129</v>
      </c>
      <c r="T59" s="209" t="s">
        <v>129</v>
      </c>
      <c r="U59" s="210" t="s">
        <v>129</v>
      </c>
      <c r="V59" s="211" t="s">
        <v>12</v>
      </c>
      <c r="W59" s="196" t="s">
        <v>129</v>
      </c>
      <c r="X59" s="212" t="e">
        <f t="shared" si="3"/>
        <v>#REF!</v>
      </c>
      <c r="Y59" s="213" t="s">
        <v>129</v>
      </c>
      <c r="Z59" s="214" t="s">
        <v>129</v>
      </c>
      <c r="AA59" s="78" t="s">
        <v>129</v>
      </c>
      <c r="AB59" s="215" t="s">
        <v>12</v>
      </c>
      <c r="AC59" s="216" t="e">
        <f t="shared" si="4"/>
        <v>#REF!</v>
      </c>
      <c r="AD59" s="198" t="s">
        <v>129</v>
      </c>
      <c r="AE59" s="217" t="s">
        <v>129</v>
      </c>
      <c r="AF59" s="200" t="s">
        <v>129</v>
      </c>
      <c r="AG59" s="218" t="s">
        <v>12</v>
      </c>
      <c r="AH59" s="219">
        <v>44803</v>
      </c>
      <c r="AI59" s="220" t="s">
        <v>129</v>
      </c>
      <c r="AJ59" s="221" t="s">
        <v>129</v>
      </c>
      <c r="AK59" s="222" t="s">
        <v>129</v>
      </c>
      <c r="AL59" s="223" t="s">
        <v>12</v>
      </c>
      <c r="AM59" s="224" t="e">
        <f t="shared" si="5"/>
        <v>#REF!</v>
      </c>
      <c r="AN59" s="196" t="s">
        <v>129</v>
      </c>
    </row>
    <row r="60" spans="1:40" ht="39.75" customHeight="1" x14ac:dyDescent="0.25">
      <c r="A60" s="195">
        <f t="shared" si="7"/>
        <v>48</v>
      </c>
      <c r="B60" s="110" t="e">
        <f>#REF!</f>
        <v>#REF!</v>
      </c>
      <c r="C60" s="111" t="e">
        <f>#REF!</f>
        <v>#REF!</v>
      </c>
      <c r="D60" s="112" t="e">
        <f>#REF!</f>
        <v>#REF!</v>
      </c>
      <c r="E60" s="113" t="e">
        <f>#REF!</f>
        <v>#REF!</v>
      </c>
      <c r="F60" s="196" t="s">
        <v>230</v>
      </c>
      <c r="G60" s="197" t="e">
        <f t="shared" si="0"/>
        <v>#REF!</v>
      </c>
      <c r="H60" s="198" t="s">
        <v>230</v>
      </c>
      <c r="I60" s="199" t="s">
        <v>230</v>
      </c>
      <c r="J60" s="200" t="s">
        <v>230</v>
      </c>
      <c r="K60" s="201" t="s">
        <v>12</v>
      </c>
      <c r="L60" s="202" t="e">
        <f t="shared" si="1"/>
        <v>#REF!</v>
      </c>
      <c r="M60" s="203" t="s">
        <v>230</v>
      </c>
      <c r="N60" s="204" t="s">
        <v>230</v>
      </c>
      <c r="O60" s="205" t="s">
        <v>230</v>
      </c>
      <c r="P60" s="206" t="s">
        <v>12</v>
      </c>
      <c r="Q60" s="196" t="s">
        <v>230</v>
      </c>
      <c r="R60" s="207" t="e">
        <f t="shared" si="2"/>
        <v>#REF!</v>
      </c>
      <c r="S60" s="208" t="s">
        <v>230</v>
      </c>
      <c r="T60" s="209" t="s">
        <v>230</v>
      </c>
      <c r="U60" s="210" t="s">
        <v>230</v>
      </c>
      <c r="V60" s="211" t="s">
        <v>12</v>
      </c>
      <c r="W60" s="196" t="s">
        <v>230</v>
      </c>
      <c r="X60" s="212" t="e">
        <f t="shared" si="3"/>
        <v>#REF!</v>
      </c>
      <c r="Y60" s="213" t="s">
        <v>230</v>
      </c>
      <c r="Z60" s="214" t="s">
        <v>230</v>
      </c>
      <c r="AA60" s="78" t="s">
        <v>230</v>
      </c>
      <c r="AB60" s="215" t="s">
        <v>12</v>
      </c>
      <c r="AC60" s="216" t="e">
        <f t="shared" si="4"/>
        <v>#REF!</v>
      </c>
      <c r="AD60" s="198" t="s">
        <v>230</v>
      </c>
      <c r="AE60" s="217" t="s">
        <v>230</v>
      </c>
      <c r="AF60" s="200" t="s">
        <v>230</v>
      </c>
      <c r="AG60" s="218" t="s">
        <v>12</v>
      </c>
      <c r="AH60" s="219">
        <v>44803</v>
      </c>
      <c r="AI60" s="220" t="s">
        <v>230</v>
      </c>
      <c r="AJ60" s="221" t="s">
        <v>230</v>
      </c>
      <c r="AK60" s="222" t="s">
        <v>230</v>
      </c>
      <c r="AL60" s="223" t="s">
        <v>12</v>
      </c>
      <c r="AM60" s="224" t="e">
        <f t="shared" si="5"/>
        <v>#REF!</v>
      </c>
      <c r="AN60" s="196" t="s">
        <v>230</v>
      </c>
    </row>
    <row r="61" spans="1:40" ht="39.75" customHeight="1" x14ac:dyDescent="0.25">
      <c r="A61" s="195">
        <f t="shared" si="7"/>
        <v>49</v>
      </c>
      <c r="B61" s="110" t="e">
        <f>#REF!</f>
        <v>#REF!</v>
      </c>
      <c r="C61" s="111" t="e">
        <f>#REF!</f>
        <v>#REF!</v>
      </c>
      <c r="D61" s="112" t="e">
        <f>#REF!</f>
        <v>#REF!</v>
      </c>
      <c r="E61" s="113" t="e">
        <f>#REF!</f>
        <v>#REF!</v>
      </c>
      <c r="F61" s="196" t="s">
        <v>129</v>
      </c>
      <c r="G61" s="197" t="e">
        <f t="shared" si="0"/>
        <v>#REF!</v>
      </c>
      <c r="H61" s="198" t="s">
        <v>129</v>
      </c>
      <c r="I61" s="199" t="s">
        <v>129</v>
      </c>
      <c r="J61" s="200" t="s">
        <v>129</v>
      </c>
      <c r="K61" s="201" t="s">
        <v>12</v>
      </c>
      <c r="L61" s="202" t="e">
        <f t="shared" si="1"/>
        <v>#REF!</v>
      </c>
      <c r="M61" s="203" t="s">
        <v>129</v>
      </c>
      <c r="N61" s="204" t="s">
        <v>129</v>
      </c>
      <c r="O61" s="205" t="s">
        <v>129</v>
      </c>
      <c r="P61" s="206" t="s">
        <v>12</v>
      </c>
      <c r="Q61" s="196" t="s">
        <v>129</v>
      </c>
      <c r="R61" s="207" t="e">
        <f t="shared" si="2"/>
        <v>#REF!</v>
      </c>
      <c r="S61" s="208" t="s">
        <v>129</v>
      </c>
      <c r="T61" s="209" t="s">
        <v>129</v>
      </c>
      <c r="U61" s="210" t="s">
        <v>129</v>
      </c>
      <c r="V61" s="211" t="s">
        <v>12</v>
      </c>
      <c r="W61" s="196" t="s">
        <v>129</v>
      </c>
      <c r="X61" s="212" t="e">
        <f t="shared" si="3"/>
        <v>#REF!</v>
      </c>
      <c r="Y61" s="213" t="s">
        <v>129</v>
      </c>
      <c r="Z61" s="214" t="s">
        <v>129</v>
      </c>
      <c r="AA61" s="78" t="s">
        <v>129</v>
      </c>
      <c r="AB61" s="215" t="s">
        <v>12</v>
      </c>
      <c r="AC61" s="216" t="e">
        <f t="shared" si="4"/>
        <v>#REF!</v>
      </c>
      <c r="AD61" s="198" t="s">
        <v>129</v>
      </c>
      <c r="AE61" s="217" t="s">
        <v>129</v>
      </c>
      <c r="AF61" s="200" t="s">
        <v>129</v>
      </c>
      <c r="AG61" s="218" t="s">
        <v>12</v>
      </c>
      <c r="AH61" s="219">
        <v>44803</v>
      </c>
      <c r="AI61" s="220" t="s">
        <v>129</v>
      </c>
      <c r="AJ61" s="221" t="s">
        <v>129</v>
      </c>
      <c r="AK61" s="222" t="s">
        <v>129</v>
      </c>
      <c r="AL61" s="223" t="s">
        <v>12</v>
      </c>
      <c r="AM61" s="224" t="e">
        <f t="shared" si="5"/>
        <v>#REF!</v>
      </c>
      <c r="AN61" s="196" t="s">
        <v>129</v>
      </c>
    </row>
    <row r="62" spans="1:40" ht="39.75" customHeight="1" x14ac:dyDescent="0.25">
      <c r="A62" s="195">
        <f t="shared" si="7"/>
        <v>50</v>
      </c>
      <c r="B62" s="110" t="e">
        <f>#REF!</f>
        <v>#REF!</v>
      </c>
      <c r="C62" s="111" t="e">
        <f>#REF!</f>
        <v>#REF!</v>
      </c>
      <c r="D62" s="112" t="e">
        <f>#REF!</f>
        <v>#REF!</v>
      </c>
      <c r="E62" s="113" t="e">
        <f>#REF!</f>
        <v>#REF!</v>
      </c>
      <c r="F62" s="196" t="s">
        <v>230</v>
      </c>
      <c r="G62" s="197" t="e">
        <f t="shared" si="0"/>
        <v>#REF!</v>
      </c>
      <c r="H62" s="198" t="s">
        <v>230</v>
      </c>
      <c r="I62" s="199" t="s">
        <v>230</v>
      </c>
      <c r="J62" s="200" t="s">
        <v>230</v>
      </c>
      <c r="K62" s="201" t="s">
        <v>12</v>
      </c>
      <c r="L62" s="202" t="e">
        <f t="shared" si="1"/>
        <v>#REF!</v>
      </c>
      <c r="M62" s="203" t="s">
        <v>230</v>
      </c>
      <c r="N62" s="204" t="s">
        <v>230</v>
      </c>
      <c r="O62" s="205" t="s">
        <v>230</v>
      </c>
      <c r="P62" s="206" t="s">
        <v>12</v>
      </c>
      <c r="Q62" s="196" t="s">
        <v>230</v>
      </c>
      <c r="R62" s="207" t="e">
        <f t="shared" si="2"/>
        <v>#REF!</v>
      </c>
      <c r="S62" s="208" t="s">
        <v>230</v>
      </c>
      <c r="T62" s="209" t="s">
        <v>230</v>
      </c>
      <c r="U62" s="210" t="s">
        <v>230</v>
      </c>
      <c r="V62" s="211" t="s">
        <v>12</v>
      </c>
      <c r="W62" s="196" t="s">
        <v>230</v>
      </c>
      <c r="X62" s="212" t="e">
        <f t="shared" si="3"/>
        <v>#REF!</v>
      </c>
      <c r="Y62" s="213" t="s">
        <v>230</v>
      </c>
      <c r="Z62" s="214" t="s">
        <v>230</v>
      </c>
      <c r="AA62" s="78" t="s">
        <v>230</v>
      </c>
      <c r="AB62" s="215" t="s">
        <v>12</v>
      </c>
      <c r="AC62" s="216" t="e">
        <f t="shared" si="4"/>
        <v>#REF!</v>
      </c>
      <c r="AD62" s="198" t="s">
        <v>230</v>
      </c>
      <c r="AE62" s="217" t="s">
        <v>230</v>
      </c>
      <c r="AF62" s="200" t="s">
        <v>230</v>
      </c>
      <c r="AG62" s="218" t="s">
        <v>12</v>
      </c>
      <c r="AH62" s="219">
        <v>44803</v>
      </c>
      <c r="AI62" s="220" t="s">
        <v>230</v>
      </c>
      <c r="AJ62" s="221" t="s">
        <v>230</v>
      </c>
      <c r="AK62" s="222" t="s">
        <v>230</v>
      </c>
      <c r="AL62" s="223" t="s">
        <v>12</v>
      </c>
      <c r="AM62" s="224" t="e">
        <f t="shared" si="5"/>
        <v>#REF!</v>
      </c>
      <c r="AN62" s="196" t="s">
        <v>230</v>
      </c>
    </row>
    <row r="63" spans="1:40" ht="15.75" customHeight="1" x14ac:dyDescent="0.25">
      <c r="A63" s="122"/>
    </row>
    <row r="64" spans="1:40" ht="15.75" customHeight="1" x14ac:dyDescent="0.25">
      <c r="A64" s="122"/>
    </row>
    <row r="65" spans="1:1" ht="15.75" customHeight="1" x14ac:dyDescent="0.25">
      <c r="A65" s="122"/>
    </row>
    <row r="66" spans="1:1" ht="15.75" customHeight="1" x14ac:dyDescent="0.25">
      <c r="A66" s="122"/>
    </row>
    <row r="67" spans="1:1" ht="15.75" customHeight="1" x14ac:dyDescent="0.25">
      <c r="A67" s="122"/>
    </row>
    <row r="68" spans="1:1" ht="15.75" customHeight="1" x14ac:dyDescent="0.25">
      <c r="A68" s="122"/>
    </row>
    <row r="69" spans="1:1" ht="15.75" customHeight="1" x14ac:dyDescent="0.25">
      <c r="A69" s="122"/>
    </row>
    <row r="70" spans="1:1" ht="15.75" customHeight="1" x14ac:dyDescent="0.25"/>
    <row r="71" spans="1:1" ht="15.75" customHeight="1" x14ac:dyDescent="0.25"/>
    <row r="72" spans="1:1" ht="15.75" customHeight="1" x14ac:dyDescent="0.25"/>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4">
    <mergeCell ref="AP11:BC11"/>
    <mergeCell ref="AP6:AS6"/>
    <mergeCell ref="AP7:AS7"/>
    <mergeCell ref="AT7:AW7"/>
    <mergeCell ref="AX7:AZ7"/>
    <mergeCell ref="BA7:BC7"/>
    <mergeCell ref="AP8:AS9"/>
    <mergeCell ref="AT8:AW9"/>
    <mergeCell ref="AX8:AZ8"/>
    <mergeCell ref="BA8:BC8"/>
    <mergeCell ref="AX9:AZ9"/>
    <mergeCell ref="BA9:BC9"/>
    <mergeCell ref="AP10:AS10"/>
    <mergeCell ref="AT10:AU10"/>
    <mergeCell ref="AV10:AW10"/>
    <mergeCell ref="AX10:AZ10"/>
    <mergeCell ref="BA10:BC10"/>
    <mergeCell ref="AP2:BC2"/>
    <mergeCell ref="AP3:BC3"/>
    <mergeCell ref="AP4:BC4"/>
    <mergeCell ref="AP5:BC5"/>
    <mergeCell ref="AT6:AW6"/>
    <mergeCell ref="AX6:AZ6"/>
    <mergeCell ref="BA6:BC6"/>
  </mergeCells>
  <pageMargins left="0.25" right="0.25" top="0.75" bottom="0.75" header="0" footer="0"/>
  <pageSetup paperSize="5"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A00-000000000000}">
          <x14:formula1>
            <xm:f>'Pick List '!$C$4:$C$9</xm:f>
          </x14:formula1>
          <xm:sqref>AV10</xm:sqref>
        </x14:dataValidation>
        <x14:dataValidation type="list" allowBlank="1" showErrorMessage="1" xr:uid="{00000000-0002-0000-0A00-000001000000}">
          <x14:formula1>
            <xm:f>'Pick List '!$A$4:$A$15</xm:f>
          </x14:formula1>
          <xm:sqref>AT10</xm:sqref>
        </x14:dataValidation>
        <x14:dataValidation type="list" allowBlank="1" showErrorMessage="1" xr:uid="{00000000-0002-0000-0A00-000002000000}">
          <x14:formula1>
            <xm:f>'Pick List '!$G$15:$G$16</xm:f>
          </x14:formula1>
          <xm:sqref>F13:F62 H13:J62 M13:O62 Q13:Q62 S13:U62 W13:W62 Y13:AA62 AD13:AF62 AI13:AK62 AN13:AN62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1:A1000"/>
  <sheetViews>
    <sheetView workbookViewId="0"/>
  </sheetViews>
  <sheetFormatPr defaultColWidth="14.42578125" defaultRowHeight="15" customHeight="1" x14ac:dyDescent="0.25"/>
  <cols>
    <col min="1" max="26"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D044EDDB38C740AB8EC7391CA6DDA0" ma:contentTypeVersion="13" ma:contentTypeDescription="Create a new document." ma:contentTypeScope="" ma:versionID="532b6d1973ad47ccb1b819ee5347d86b">
  <xsd:schema xmlns:xsd="http://www.w3.org/2001/XMLSchema" xmlns:xs="http://www.w3.org/2001/XMLSchema" xmlns:p="http://schemas.microsoft.com/office/2006/metadata/properties" xmlns:ns3="7e60c808-b676-4902-8a4d-8d1b30bb673a" xmlns:ns4="f01ac9f2-c2b5-46b2-af1e-26b1305f4860" targetNamespace="http://schemas.microsoft.com/office/2006/metadata/properties" ma:root="true" ma:fieldsID="3dd7c1b15d22734fa49df88ee55f8d49" ns3:_="" ns4:_="">
    <xsd:import namespace="7e60c808-b676-4902-8a4d-8d1b30bb673a"/>
    <xsd:import namespace="f01ac9f2-c2b5-46b2-af1e-26b1305f486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0c808-b676-4902-8a4d-8d1b30bb67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c9f2-c2b5-46b2-af1e-26b1305f486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e60c808-b676-4902-8a4d-8d1b30bb673a" xsi:nil="true"/>
  </documentManagement>
</p:properties>
</file>

<file path=customXml/itemProps1.xml><?xml version="1.0" encoding="utf-8"?>
<ds:datastoreItem xmlns:ds="http://schemas.openxmlformats.org/officeDocument/2006/customXml" ds:itemID="{7AE7DDA0-8B4D-4448-9AA6-4F39273B832D}">
  <ds:schemaRefs>
    <ds:schemaRef ds:uri="http://schemas.microsoft.com/sharepoint/v3/contenttype/forms"/>
  </ds:schemaRefs>
</ds:datastoreItem>
</file>

<file path=customXml/itemProps2.xml><?xml version="1.0" encoding="utf-8"?>
<ds:datastoreItem xmlns:ds="http://schemas.openxmlformats.org/officeDocument/2006/customXml" ds:itemID="{199EE23F-3BAE-4D68-A704-52613166E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0c808-b676-4902-8a4d-8d1b30bb673a"/>
    <ds:schemaRef ds:uri="f01ac9f2-c2b5-46b2-af1e-26b1305f48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5BD0E-4567-4E5A-AEDC-0F4A12810012}">
  <ds:schemaRefs>
    <ds:schemaRef ds:uri="http://schemas.microsoft.com/office/2006/metadata/properties"/>
    <ds:schemaRef ds:uri="http://purl.org/dc/terms/"/>
    <ds:schemaRef ds:uri="7e60c808-b676-4902-8a4d-8d1b30bb67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f01ac9f2-c2b5-46b2-af1e-26b1305f48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BASE GRANTEE INFO &amp; UPDATES</vt:lpstr>
      <vt:lpstr>PROGRAM PROGRESS MONTHLY REPORT</vt:lpstr>
      <vt:lpstr>MONTHLY PROGRESS</vt:lpstr>
      <vt:lpstr>2GENERAL PROGRAM INFORMATION</vt:lpstr>
      <vt:lpstr>3SUMMARY</vt:lpstr>
      <vt:lpstr>Sheet1</vt:lpstr>
      <vt:lpstr>4SCREENING -LINKAGE TO TX</vt:lpstr>
      <vt:lpstr>5Followup GPRA FOR FAST</vt:lpstr>
      <vt:lpstr>Sheet19</vt:lpstr>
      <vt:lpstr> 3SCREENING EVIDENCED BASED TX</vt:lpstr>
      <vt:lpstr> 4CLIENT ACTIVITY - DISCHARGES</vt:lpstr>
      <vt:lpstr>PRSS</vt:lpstr>
      <vt:lpstr>3MOUD STIMULANTS</vt:lpstr>
      <vt:lpstr>Followup NOMS</vt:lpstr>
      <vt:lpstr>5Followup GPRA</vt:lpstr>
      <vt:lpstr>5Followup OUD Meth</vt:lpstr>
      <vt:lpstr>6Evidence Based Training</vt:lpstr>
      <vt:lpstr>6TRAINING </vt:lpstr>
      <vt:lpstr>MEETINGS ACTIVITIES EVENTS</vt:lpstr>
      <vt:lpstr>7Naloxone Kits Distributed</vt:lpstr>
      <vt:lpstr>8SUMMARY</vt:lpstr>
      <vt:lpstr>Pick List </vt:lpstr>
      <vt:lpstr>2222222</vt:lpstr>
      <vt:lpstr>Sheet1!_Hlk510791888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Belle1987</dc:creator>
  <cp:lastModifiedBy>Perry, Saundra K</cp:lastModifiedBy>
  <dcterms:created xsi:type="dcterms:W3CDTF">2020-07-24T15:56:15Z</dcterms:created>
  <dcterms:modified xsi:type="dcterms:W3CDTF">2024-12-04T16:23:53Z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0x01010099D044EDDB38C740AB8EC7391CA6DDA0</vt:lpwstr>
  </property>
</Properties>
</file>