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defaultThemeVersion="166925"/>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2830B48D-F71C-4F51-97B4-FDAA6E5F0EC2}" xr6:coauthVersionLast="47" xr6:coauthVersionMax="47" xr10:uidLastSave="{00000000-0000-0000-0000-000000000000}"/>
  <bookViews>
    <workbookView xWindow="-120" yWindow="-120" windowWidth="24240" windowHeight="13140" xr2:uid="{3EFFC664-B946-46BA-B214-C1647B8297E2}"/>
  </bookViews>
  <sheets>
    <sheet name="BASE GRANTEE INFO &amp; UPDATE" sheetId="1" r:id="rId1"/>
    <sheet name="Client Tally" sheetId="15" r:id="rId2"/>
    <sheet name="PRSS if needed" sheetId="16" r:id="rId3"/>
    <sheet name="CONSUMER FEEDBACK " sheetId="6" state="hidden" r:id="rId4"/>
    <sheet name="SUMMARY" sheetId="5" state="hidden" r:id="rId5"/>
    <sheet name="Pick List "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5" l="1"/>
  <c r="A3" i="15"/>
  <c r="D6" i="15"/>
  <c r="A2" i="15"/>
  <c r="H10" i="15"/>
  <c r="H9" i="15"/>
  <c r="H8" i="15"/>
  <c r="H7" i="15"/>
  <c r="H6" i="15"/>
  <c r="E10" i="15"/>
  <c r="D8" i="15"/>
  <c r="D7" i="15"/>
  <c r="D10" i="15"/>
  <c r="BS213" i="5" l="1"/>
  <c r="BS212" i="5"/>
  <c r="BS211" i="5"/>
  <c r="AK211" i="5"/>
  <c r="AK213" i="5"/>
  <c r="AK212" i="5"/>
  <c r="K211" i="5"/>
  <c r="K214" i="5"/>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K213" i="5"/>
  <c r="K212" i="5"/>
  <c r="BS215" i="5" l="1"/>
  <c r="K215" i="5"/>
  <c r="AK215" i="5"/>
  <c r="AP202" i="5" l="1"/>
  <c r="AP201" i="5"/>
  <c r="AP200" i="5"/>
  <c r="AP199" i="5"/>
  <c r="AP198" i="5"/>
  <c r="AP197" i="5"/>
  <c r="AP196" i="5"/>
  <c r="AP195" i="5"/>
  <c r="AP194" i="5"/>
  <c r="AJ202" i="5"/>
  <c r="AJ201" i="5"/>
  <c r="AJ200" i="5"/>
  <c r="AJ199" i="5"/>
  <c r="AJ198" i="5"/>
  <c r="AJ197" i="5"/>
  <c r="AJ196" i="5"/>
  <c r="AJ195" i="5"/>
  <c r="AD195" i="5"/>
  <c r="AP204" i="5" l="1"/>
  <c r="AJ194" i="5"/>
  <c r="AJ204" i="5" s="1"/>
  <c r="AD202" i="5"/>
  <c r="AD201" i="5"/>
  <c r="AD200" i="5"/>
  <c r="AD199" i="5"/>
  <c r="AD198" i="5"/>
  <c r="AD197" i="5"/>
  <c r="AD196" i="5"/>
  <c r="AD194" i="5"/>
  <c r="W185" i="5" l="1"/>
  <c r="AD204" i="5" l="1"/>
  <c r="DO185" i="5" l="1"/>
  <c r="DO184" i="5"/>
  <c r="DO183" i="5"/>
  <c r="DO182" i="5"/>
  <c r="DI185" i="5"/>
  <c r="DI184" i="5"/>
  <c r="DI183" i="5"/>
  <c r="DI182" i="5"/>
  <c r="DC185" i="5"/>
  <c r="DC184" i="5"/>
  <c r="DC183" i="5"/>
  <c r="DC182" i="5"/>
  <c r="CW185" i="5"/>
  <c r="CW184" i="5"/>
  <c r="CW183" i="5"/>
  <c r="CW182" i="5"/>
  <c r="CQ185" i="5"/>
  <c r="CQ184" i="5"/>
  <c r="CQ183" i="5"/>
  <c r="CQ182" i="5"/>
  <c r="CK185" i="5"/>
  <c r="CK184" i="5"/>
  <c r="CK183" i="5"/>
  <c r="CK182" i="5"/>
  <c r="CE185" i="5"/>
  <c r="CE184" i="5"/>
  <c r="CE183" i="5"/>
  <c r="CE182" i="5"/>
  <c r="BY185" i="5"/>
  <c r="BY184" i="5"/>
  <c r="BY183" i="5"/>
  <c r="BY182" i="5"/>
  <c r="BS185" i="5"/>
  <c r="BS184" i="5"/>
  <c r="BS183" i="5"/>
  <c r="BS182" i="5"/>
  <c r="BM185" i="5"/>
  <c r="BM184" i="5"/>
  <c r="BM183" i="5"/>
  <c r="BM182" i="5"/>
  <c r="BG185" i="5"/>
  <c r="BG184" i="5"/>
  <c r="BG183" i="5"/>
  <c r="BG182" i="5"/>
  <c r="BA185" i="5"/>
  <c r="BA184" i="5"/>
  <c r="BA183" i="5"/>
  <c r="BA182" i="5"/>
  <c r="AU185" i="5"/>
  <c r="AU184" i="5"/>
  <c r="AU183" i="5"/>
  <c r="AU182" i="5"/>
  <c r="AO185" i="5"/>
  <c r="AO184" i="5"/>
  <c r="AO183" i="5"/>
  <c r="AO182" i="5"/>
  <c r="AI185" i="5"/>
  <c r="AI184" i="5"/>
  <c r="AI183" i="5"/>
  <c r="AI182" i="5"/>
  <c r="AC185" i="5"/>
  <c r="AC184" i="5"/>
  <c r="AC183" i="5"/>
  <c r="AC182" i="5"/>
  <c r="W184" i="5"/>
  <c r="W183" i="5"/>
  <c r="W182" i="5"/>
  <c r="AO167" i="5"/>
  <c r="AI167" i="5"/>
  <c r="AC167" i="5"/>
  <c r="W167" i="5"/>
  <c r="AO178" i="5"/>
  <c r="AO177" i="5"/>
  <c r="AO176" i="5"/>
  <c r="AO175" i="5"/>
  <c r="AO174" i="5"/>
  <c r="AO173" i="5"/>
  <c r="AO172" i="5"/>
  <c r="AO171" i="5"/>
  <c r="AO170" i="5"/>
  <c r="AO169" i="5"/>
  <c r="AO168" i="5"/>
  <c r="AI178" i="5"/>
  <c r="AI177" i="5"/>
  <c r="AI176" i="5"/>
  <c r="AI175" i="5"/>
  <c r="AI174" i="5"/>
  <c r="AI173" i="5"/>
  <c r="AI172" i="5"/>
  <c r="AI171" i="5"/>
  <c r="AI170" i="5"/>
  <c r="AI169" i="5"/>
  <c r="AI168" i="5"/>
  <c r="AC178" i="5"/>
  <c r="AC177" i="5"/>
  <c r="AC176" i="5"/>
  <c r="AC175" i="5"/>
  <c r="AC174" i="5"/>
  <c r="AC173" i="5"/>
  <c r="AC172" i="5"/>
  <c r="AC171" i="5"/>
  <c r="AC170" i="5"/>
  <c r="AC169" i="5"/>
  <c r="AC168" i="5"/>
  <c r="W178" i="5"/>
  <c r="W177" i="5"/>
  <c r="W176" i="5"/>
  <c r="W175" i="5"/>
  <c r="W174" i="5"/>
  <c r="W173" i="5"/>
  <c r="W172" i="5"/>
  <c r="W171" i="5"/>
  <c r="W170" i="5"/>
  <c r="W169" i="5"/>
  <c r="W168" i="5"/>
  <c r="R178" i="5"/>
  <c r="R177" i="5"/>
  <c r="R176" i="5"/>
  <c r="R175" i="5"/>
  <c r="R174" i="5"/>
  <c r="R173" i="5"/>
  <c r="R172" i="5"/>
  <c r="R171" i="5"/>
  <c r="R170" i="5"/>
  <c r="R169" i="5"/>
  <c r="R168" i="5"/>
  <c r="R167" i="5"/>
  <c r="M167" i="5"/>
  <c r="M178" i="5"/>
  <c r="M177" i="5"/>
  <c r="M176" i="5"/>
  <c r="M175" i="5"/>
  <c r="M174" i="5"/>
  <c r="M173" i="5"/>
  <c r="M172" i="5"/>
  <c r="M171" i="5"/>
  <c r="M170" i="5"/>
  <c r="M169" i="5"/>
  <c r="M168" i="5"/>
  <c r="I167" i="5"/>
  <c r="I178" i="5"/>
  <c r="I177" i="5"/>
  <c r="I176" i="5"/>
  <c r="I175" i="5"/>
  <c r="I174" i="5"/>
  <c r="I173" i="5"/>
  <c r="I172" i="5"/>
  <c r="I171" i="5"/>
  <c r="I170" i="5"/>
  <c r="I169" i="5"/>
  <c r="I168" i="5"/>
  <c r="W155" i="5"/>
  <c r="W154" i="5"/>
  <c r="W153" i="5"/>
  <c r="W152" i="5"/>
  <c r="AS155" i="5"/>
  <c r="AS154" i="5"/>
  <c r="AS153" i="5"/>
  <c r="AS152" i="5"/>
  <c r="AH155" i="5"/>
  <c r="AH154" i="5"/>
  <c r="AH153" i="5"/>
  <c r="AH152" i="5"/>
  <c r="AO187" i="5" l="1"/>
  <c r="BA187" i="5"/>
  <c r="BM187" i="5"/>
  <c r="BY187" i="5"/>
  <c r="CK187" i="5"/>
  <c r="CW187" i="5"/>
  <c r="DO187" i="5"/>
  <c r="CE187" i="5"/>
  <c r="CQ187" i="5"/>
  <c r="DC187" i="5"/>
  <c r="BS187" i="5"/>
  <c r="AC187" i="5"/>
  <c r="AI187" i="5"/>
  <c r="DI187" i="5"/>
  <c r="W187" i="5"/>
  <c r="AU187" i="5"/>
  <c r="BG187" i="5"/>
  <c r="DU182" i="5"/>
  <c r="DU185" i="5"/>
  <c r="DU184" i="5"/>
  <c r="DU183" i="5"/>
  <c r="AU167" i="5"/>
  <c r="AU178" i="5"/>
  <c r="AU177" i="5"/>
  <c r="AU176" i="5"/>
  <c r="AU175" i="5"/>
  <c r="AU174" i="5"/>
  <c r="AU173" i="5"/>
  <c r="AU172" i="5"/>
  <c r="AU171" i="5"/>
  <c r="AU170" i="5"/>
  <c r="AU169" i="5"/>
  <c r="AU168" i="5"/>
  <c r="W156" i="5"/>
  <c r="AS156" i="5"/>
  <c r="AH156" i="5"/>
  <c r="DU187" i="5" l="1"/>
  <c r="W147" i="5" l="1"/>
  <c r="W146" i="5"/>
  <c r="E143" i="5"/>
  <c r="A143" i="5"/>
  <c r="CV144" i="5"/>
  <c r="CQ144" i="5"/>
  <c r="CL144" i="5"/>
  <c r="CD144" i="5"/>
  <c r="BY144" i="5"/>
  <c r="BT144" i="5"/>
  <c r="BO144" i="5"/>
  <c r="BJ144" i="5"/>
  <c r="BE144" i="5"/>
  <c r="AZ144" i="5"/>
  <c r="AQ144" i="5"/>
  <c r="AT144" i="5"/>
  <c r="J144" i="5"/>
  <c r="AK144" i="5"/>
  <c r="AH144" i="5"/>
  <c r="AE144" i="5"/>
  <c r="AB144" i="5"/>
  <c r="Y144" i="5"/>
  <c r="V144" i="5"/>
  <c r="S144" i="5"/>
  <c r="P144" i="5"/>
  <c r="M144" i="5"/>
  <c r="D15" i="5"/>
  <c r="AW144" i="5" l="1"/>
  <c r="DA144" i="5"/>
  <c r="CI144" i="5"/>
  <c r="AN144" i="5"/>
  <c r="CA129" i="5" l="1"/>
  <c r="CA128" i="5"/>
  <c r="CA127" i="5"/>
  <c r="BP127" i="5"/>
  <c r="BP133" i="5"/>
  <c r="BP132" i="5"/>
  <c r="BP131" i="5"/>
  <c r="BP130" i="5"/>
  <c r="BP129" i="5"/>
  <c r="BP128" i="5"/>
  <c r="BE127" i="5"/>
  <c r="BE128" i="5"/>
  <c r="AT127" i="5"/>
  <c r="AT136" i="5"/>
  <c r="AT135" i="5"/>
  <c r="AT134" i="5"/>
  <c r="AT133" i="5"/>
  <c r="AT132" i="5"/>
  <c r="AT131" i="5"/>
  <c r="AT130" i="5"/>
  <c r="AT129" i="5"/>
  <c r="AT128" i="5"/>
  <c r="AI126" i="5"/>
  <c r="AI124" i="5"/>
  <c r="BU124" i="5" s="1"/>
  <c r="BP123" i="5"/>
  <c r="BE123" i="5"/>
  <c r="AT123" i="5"/>
  <c r="AI123" i="5"/>
  <c r="BP122" i="5"/>
  <c r="BE122" i="5"/>
  <c r="AT122" i="5"/>
  <c r="AI122" i="5"/>
  <c r="BP124" i="5"/>
  <c r="AT124" i="5"/>
  <c r="AT121" i="5"/>
  <c r="AI121" i="5"/>
  <c r="BE124" i="5"/>
  <c r="AI120" i="5"/>
  <c r="BU120" i="5" s="1"/>
  <c r="AS47" i="5"/>
  <c r="AO47" i="5"/>
  <c r="BB116" i="5"/>
  <c r="AR116" i="5"/>
  <c r="AR115" i="5"/>
  <c r="BB115" i="5"/>
  <c r="BP114" i="5"/>
  <c r="BB114" i="5"/>
  <c r="AR114" i="5"/>
  <c r="BP113" i="5"/>
  <c r="BB113" i="5"/>
  <c r="BB112" i="5"/>
  <c r="AR113" i="5"/>
  <c r="AR112" i="5"/>
  <c r="T75" i="5"/>
  <c r="P47" i="5"/>
  <c r="L47" i="5"/>
  <c r="AM51" i="5"/>
  <c r="BK106" i="5"/>
  <c r="BK105" i="5"/>
  <c r="BK104" i="5"/>
  <c r="BK103" i="5"/>
  <c r="BK102" i="5"/>
  <c r="BK101" i="5"/>
  <c r="BK100" i="5"/>
  <c r="BK99" i="5"/>
  <c r="BK98" i="5"/>
  <c r="BK97" i="5"/>
  <c r="BK96" i="5"/>
  <c r="BK95" i="5"/>
  <c r="BK94" i="5"/>
  <c r="BK93" i="5"/>
  <c r="BK92" i="5"/>
  <c r="BK91" i="5"/>
  <c r="BK90" i="5"/>
  <c r="BK89" i="5"/>
  <c r="BK88" i="5"/>
  <c r="BK87" i="5"/>
  <c r="BK86" i="5"/>
  <c r="BK85" i="5"/>
  <c r="BK84" i="5"/>
  <c r="BW106" i="5"/>
  <c r="BW105" i="5"/>
  <c r="BW104" i="5"/>
  <c r="BW103" i="5"/>
  <c r="BW102" i="5"/>
  <c r="BW101" i="5"/>
  <c r="BW100" i="5"/>
  <c r="BW99" i="5"/>
  <c r="BW98" i="5"/>
  <c r="BW97" i="5"/>
  <c r="BW96" i="5"/>
  <c r="BW95" i="5"/>
  <c r="BW94" i="5"/>
  <c r="BW93" i="5"/>
  <c r="BW92" i="5"/>
  <c r="BW91" i="5"/>
  <c r="BW90" i="5"/>
  <c r="BW89" i="5"/>
  <c r="BW88" i="5"/>
  <c r="BW87" i="5"/>
  <c r="BW86" i="5"/>
  <c r="BW85" i="5"/>
  <c r="BW84" i="5"/>
  <c r="BE106" i="5"/>
  <c r="BE105" i="5"/>
  <c r="BE104" i="5"/>
  <c r="BE103" i="5"/>
  <c r="BE102" i="5"/>
  <c r="BE101" i="5"/>
  <c r="BE100" i="5"/>
  <c r="BE99" i="5"/>
  <c r="BE98" i="5"/>
  <c r="BE97" i="5"/>
  <c r="BE96" i="5"/>
  <c r="BE95" i="5"/>
  <c r="BE94" i="5"/>
  <c r="BE93" i="5"/>
  <c r="BE92" i="5"/>
  <c r="BE91" i="5"/>
  <c r="BE90" i="5"/>
  <c r="BE89" i="5"/>
  <c r="BE88" i="5"/>
  <c r="BE87" i="5"/>
  <c r="BE86" i="5"/>
  <c r="BE85" i="5"/>
  <c r="BE84" i="5"/>
  <c r="BE83" i="5"/>
  <c r="AY106" i="5"/>
  <c r="AY105" i="5"/>
  <c r="AY104" i="5"/>
  <c r="AY103" i="5"/>
  <c r="AY102" i="5"/>
  <c r="AY101" i="5"/>
  <c r="AY100" i="5"/>
  <c r="AY99" i="5"/>
  <c r="AY98" i="5"/>
  <c r="AY97" i="5"/>
  <c r="AY96" i="5"/>
  <c r="AY95" i="5"/>
  <c r="AY94" i="5"/>
  <c r="AY93" i="5"/>
  <c r="AY92" i="5"/>
  <c r="AY91" i="5"/>
  <c r="AY90" i="5"/>
  <c r="AY89" i="5"/>
  <c r="AY88" i="5"/>
  <c r="AY87" i="5"/>
  <c r="AY86" i="5"/>
  <c r="AY85" i="5"/>
  <c r="AY84" i="5"/>
  <c r="AS106" i="5"/>
  <c r="AS105" i="5"/>
  <c r="AS104" i="5"/>
  <c r="AS103" i="5"/>
  <c r="AS102" i="5"/>
  <c r="AS101" i="5"/>
  <c r="AS100" i="5"/>
  <c r="AS99" i="5"/>
  <c r="AS98" i="5"/>
  <c r="AS97" i="5"/>
  <c r="AS96" i="5"/>
  <c r="AS95" i="5"/>
  <c r="AS94" i="5"/>
  <c r="AS93" i="5"/>
  <c r="AS92" i="5"/>
  <c r="AS91" i="5"/>
  <c r="AS90" i="5"/>
  <c r="AS89" i="5"/>
  <c r="AS88" i="5"/>
  <c r="AS87" i="5"/>
  <c r="AS86" i="5"/>
  <c r="AS85" i="5"/>
  <c r="AS84"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G106" i="5"/>
  <c r="AG105" i="5"/>
  <c r="AG104" i="5"/>
  <c r="AG103" i="5"/>
  <c r="AG102" i="5"/>
  <c r="AG101" i="5"/>
  <c r="AG100" i="5"/>
  <c r="AG99" i="5"/>
  <c r="AG98" i="5"/>
  <c r="AG97" i="5"/>
  <c r="AG96" i="5"/>
  <c r="AG95" i="5"/>
  <c r="AG94" i="5"/>
  <c r="AG93" i="5"/>
  <c r="AG92" i="5"/>
  <c r="AG91" i="5"/>
  <c r="AG90" i="5"/>
  <c r="AG89" i="5"/>
  <c r="AG88" i="5"/>
  <c r="AG87" i="5"/>
  <c r="AG86" i="5"/>
  <c r="AG85" i="5"/>
  <c r="AG84" i="5"/>
  <c r="AG82" i="5"/>
  <c r="AA106" i="5"/>
  <c r="AA105" i="5"/>
  <c r="AA104" i="5"/>
  <c r="AA103" i="5"/>
  <c r="AA102" i="5"/>
  <c r="AA101" i="5"/>
  <c r="AA100" i="5"/>
  <c r="AA99" i="5"/>
  <c r="AA98" i="5"/>
  <c r="AA97" i="5"/>
  <c r="AA96" i="5"/>
  <c r="AA95" i="5"/>
  <c r="AA94" i="5"/>
  <c r="AA93" i="5"/>
  <c r="AA92" i="5"/>
  <c r="AA91" i="5"/>
  <c r="AA90" i="5"/>
  <c r="AA89" i="5"/>
  <c r="AA88" i="5"/>
  <c r="AA87" i="5"/>
  <c r="AA86" i="5"/>
  <c r="AA85" i="5"/>
  <c r="AA84" i="5"/>
  <c r="AA83" i="5"/>
  <c r="AA82" i="5"/>
  <c r="T106" i="5"/>
  <c r="T105" i="5"/>
  <c r="T104" i="5"/>
  <c r="T103" i="5"/>
  <c r="T102" i="5"/>
  <c r="T101" i="5"/>
  <c r="T100" i="5"/>
  <c r="T99" i="5"/>
  <c r="T98" i="5"/>
  <c r="T97" i="5"/>
  <c r="T96" i="5"/>
  <c r="T95" i="5"/>
  <c r="T94" i="5"/>
  <c r="T93" i="5"/>
  <c r="T92" i="5"/>
  <c r="T91" i="5"/>
  <c r="T90" i="5"/>
  <c r="T89" i="5"/>
  <c r="T88" i="5"/>
  <c r="T87" i="5"/>
  <c r="T86" i="5"/>
  <c r="T85" i="5"/>
  <c r="T84" i="5"/>
  <c r="T83" i="5"/>
  <c r="T82" i="5"/>
  <c r="J106" i="5"/>
  <c r="J105" i="5"/>
  <c r="J104" i="5"/>
  <c r="J103" i="5"/>
  <c r="J102" i="5"/>
  <c r="J101" i="5"/>
  <c r="J100" i="5"/>
  <c r="J99" i="5"/>
  <c r="J98" i="5"/>
  <c r="J97" i="5"/>
  <c r="J96" i="5"/>
  <c r="J95" i="5"/>
  <c r="J94" i="5"/>
  <c r="J93" i="5"/>
  <c r="J92" i="5"/>
  <c r="J91" i="5"/>
  <c r="J89" i="5"/>
  <c r="J88" i="5"/>
  <c r="J87" i="5"/>
  <c r="J86" i="5"/>
  <c r="J85" i="5"/>
  <c r="J84" i="5"/>
  <c r="J90" i="5"/>
  <c r="BK83" i="5"/>
  <c r="BK82" i="5"/>
  <c r="BW83" i="5"/>
  <c r="BW82" i="5"/>
  <c r="BE82" i="5"/>
  <c r="AY83" i="5"/>
  <c r="AY82" i="5"/>
  <c r="AS83" i="5"/>
  <c r="AS82" i="5"/>
  <c r="AG83" i="5"/>
  <c r="J83" i="5"/>
  <c r="J82" i="5"/>
  <c r="V31" i="5"/>
  <c r="BB31" i="5"/>
  <c r="AT31" i="5"/>
  <c r="AL31" i="5"/>
  <c r="AD31" i="5"/>
  <c r="CA32" i="5"/>
  <c r="CA31" i="5"/>
  <c r="BS32" i="5"/>
  <c r="BS31" i="5"/>
  <c r="BS30" i="5"/>
  <c r="CI39" i="5"/>
  <c r="CI38" i="5"/>
  <c r="CI37" i="5"/>
  <c r="CI36" i="5"/>
  <c r="CI35" i="5"/>
  <c r="CI34" i="5"/>
  <c r="CI33" i="5"/>
  <c r="CI32" i="5"/>
  <c r="CI31" i="5"/>
  <c r="CI30" i="5"/>
  <c r="CI24" i="5"/>
  <c r="CA39" i="5"/>
  <c r="CA38" i="5"/>
  <c r="CA37" i="5"/>
  <c r="CA36" i="5"/>
  <c r="CA35" i="5"/>
  <c r="CA34" i="5"/>
  <c r="CA33" i="5"/>
  <c r="CA30" i="5"/>
  <c r="CA23" i="5"/>
  <c r="BS39" i="5"/>
  <c r="BS38" i="5"/>
  <c r="BS37" i="5"/>
  <c r="BS36" i="5"/>
  <c r="BS35" i="5"/>
  <c r="BS34" i="5"/>
  <c r="BS33" i="5"/>
  <c r="BB39" i="5"/>
  <c r="BS23" i="5"/>
  <c r="AD30" i="5"/>
  <c r="AD39" i="5"/>
  <c r="AD38" i="5"/>
  <c r="AD37" i="5"/>
  <c r="AD36" i="5"/>
  <c r="AD35" i="5"/>
  <c r="AD34" i="5"/>
  <c r="AD33" i="5"/>
  <c r="AD32" i="5"/>
  <c r="BB38" i="5"/>
  <c r="BB37" i="5"/>
  <c r="BB36" i="5"/>
  <c r="BB35" i="5"/>
  <c r="BB34" i="5"/>
  <c r="BB33" i="5"/>
  <c r="BB32" i="5"/>
  <c r="BB30" i="5"/>
  <c r="BB23" i="5"/>
  <c r="AT39" i="5"/>
  <c r="AT38" i="5"/>
  <c r="AT37" i="5"/>
  <c r="AT36" i="5"/>
  <c r="AT35" i="5"/>
  <c r="AT34" i="5"/>
  <c r="AT33" i="5"/>
  <c r="AT32" i="5"/>
  <c r="AT30" i="5"/>
  <c r="AT24" i="5"/>
  <c r="AL39" i="5"/>
  <c r="AL38" i="5"/>
  <c r="AL37" i="5"/>
  <c r="AL36" i="5"/>
  <c r="AL35" i="5"/>
  <c r="AL34" i="5"/>
  <c r="AL33" i="5"/>
  <c r="AL32" i="5"/>
  <c r="AL30" i="5"/>
  <c r="AL24" i="5"/>
  <c r="AD23" i="5"/>
  <c r="V39" i="5"/>
  <c r="V38" i="5"/>
  <c r="V37" i="5"/>
  <c r="V36" i="5"/>
  <c r="V35" i="5"/>
  <c r="V34" i="5"/>
  <c r="V33" i="5"/>
  <c r="V32" i="5"/>
  <c r="V30" i="5"/>
  <c r="V24" i="5"/>
  <c r="N39" i="5"/>
  <c r="N38" i="5"/>
  <c r="N37" i="5"/>
  <c r="N36" i="5"/>
  <c r="N35" i="5"/>
  <c r="N34" i="5"/>
  <c r="N33" i="5"/>
  <c r="N32" i="5"/>
  <c r="N31" i="5"/>
  <c r="N30" i="5"/>
  <c r="N23" i="5"/>
  <c r="F39" i="5"/>
  <c r="F38" i="5"/>
  <c r="F37" i="5"/>
  <c r="F36" i="5"/>
  <c r="F35" i="5"/>
  <c r="F34" i="5"/>
  <c r="F33" i="5"/>
  <c r="BQ91" i="5" l="1"/>
  <c r="BQ99" i="5"/>
  <c r="BQ89" i="5"/>
  <c r="BQ97" i="5"/>
  <c r="BQ105" i="5"/>
  <c r="BQ87" i="5"/>
  <c r="BQ95" i="5"/>
  <c r="BQ103" i="5"/>
  <c r="BZ112" i="5"/>
  <c r="BU121" i="5"/>
  <c r="BU123" i="5"/>
  <c r="BQ85" i="5"/>
  <c r="BQ93" i="5"/>
  <c r="BQ101" i="5"/>
  <c r="BU122" i="5"/>
  <c r="BZ116" i="5"/>
  <c r="BE137" i="5"/>
  <c r="BZ113" i="5"/>
  <c r="BZ114" i="5"/>
  <c r="BZ115" i="5"/>
  <c r="BQ84" i="5"/>
  <c r="BQ88" i="5"/>
  <c r="BQ92" i="5"/>
  <c r="BQ96" i="5"/>
  <c r="BQ100" i="5"/>
  <c r="BQ104" i="5"/>
  <c r="AT137" i="5"/>
  <c r="BP137" i="5"/>
  <c r="CA137" i="5"/>
  <c r="AM108" i="5"/>
  <c r="T47" i="5"/>
  <c r="AW47" i="5"/>
  <c r="BQ83" i="5"/>
  <c r="BQ82" i="5"/>
  <c r="BQ86" i="5"/>
  <c r="BQ90" i="5"/>
  <c r="BQ94" i="5"/>
  <c r="BQ98" i="5"/>
  <c r="BQ102" i="5"/>
  <c r="BQ106" i="5"/>
  <c r="BK108" i="5"/>
  <c r="BW108" i="5"/>
  <c r="BE108" i="5"/>
  <c r="AY108" i="5"/>
  <c r="AS108" i="5"/>
  <c r="AG108" i="5"/>
  <c r="AA108" i="5"/>
  <c r="T108" i="5"/>
  <c r="J108" i="5"/>
  <c r="F32" i="5"/>
  <c r="F31" i="5"/>
  <c r="F30" i="5"/>
  <c r="CQ35" i="5"/>
  <c r="CI23" i="5"/>
  <c r="CI22" i="5"/>
  <c r="CI21" i="5"/>
  <c r="CI20" i="5"/>
  <c r="CI19" i="5"/>
  <c r="CI18" i="5"/>
  <c r="CI17" i="5"/>
  <c r="CI16" i="5"/>
  <c r="CI15" i="5"/>
  <c r="CA24" i="5"/>
  <c r="CA22" i="5"/>
  <c r="CA21" i="5"/>
  <c r="CA20" i="5"/>
  <c r="CA19" i="5"/>
  <c r="CA18" i="5"/>
  <c r="CA17" i="5"/>
  <c r="CA16" i="5"/>
  <c r="CA15" i="5"/>
  <c r="BS24" i="5"/>
  <c r="BS22" i="5"/>
  <c r="BS21" i="5"/>
  <c r="BS20" i="5"/>
  <c r="BS19" i="5"/>
  <c r="BS18" i="5"/>
  <c r="BS17" i="5"/>
  <c r="BS16" i="5"/>
  <c r="BS15" i="5"/>
  <c r="BB24" i="5"/>
  <c r="BB22" i="5"/>
  <c r="BB21" i="5"/>
  <c r="BB20" i="5"/>
  <c r="BB19" i="5"/>
  <c r="BB18" i="5"/>
  <c r="BB17" i="5"/>
  <c r="BB16" i="5"/>
  <c r="BB15" i="5"/>
  <c r="AT23" i="5"/>
  <c r="AT22" i="5"/>
  <c r="AT21" i="5"/>
  <c r="AT20" i="5"/>
  <c r="AT19" i="5"/>
  <c r="AT18" i="5"/>
  <c r="AT17" i="5"/>
  <c r="AT16" i="5"/>
  <c r="AT15" i="5"/>
  <c r="AL23" i="5"/>
  <c r="AL22" i="5"/>
  <c r="AL21" i="5"/>
  <c r="AL20" i="5"/>
  <c r="AL19" i="5"/>
  <c r="AL18" i="5"/>
  <c r="AL17" i="5"/>
  <c r="AL16" i="5"/>
  <c r="AL15" i="5"/>
  <c r="AD24" i="5"/>
  <c r="AD22" i="5"/>
  <c r="AD21" i="5"/>
  <c r="AD20" i="5"/>
  <c r="AD19" i="5"/>
  <c r="AD18" i="5"/>
  <c r="AD17" i="5"/>
  <c r="AD16" i="5"/>
  <c r="AD15" i="5"/>
  <c r="V23" i="5"/>
  <c r="V22" i="5"/>
  <c r="V21" i="5"/>
  <c r="V20" i="5"/>
  <c r="V19" i="5"/>
  <c r="V18" i="5"/>
  <c r="V17" i="5"/>
  <c r="V16" i="5"/>
  <c r="V15" i="5"/>
  <c r="N24" i="5"/>
  <c r="N22" i="5"/>
  <c r="N21" i="5"/>
  <c r="N20" i="5"/>
  <c r="N19" i="5"/>
  <c r="N18" i="5"/>
  <c r="N17" i="5"/>
  <c r="N16" i="5"/>
  <c r="N15" i="5"/>
  <c r="F24" i="5"/>
  <c r="F23" i="5"/>
  <c r="F22" i="5"/>
  <c r="F21" i="5"/>
  <c r="F20" i="5"/>
  <c r="F19" i="5"/>
  <c r="F18" i="5"/>
  <c r="F17" i="5"/>
  <c r="F16" i="5"/>
  <c r="F15" i="5"/>
  <c r="CB75" i="5"/>
  <c r="CB74" i="5"/>
  <c r="CB73" i="5"/>
  <c r="CB72" i="5"/>
  <c r="CB71" i="5"/>
  <c r="CB70" i="5"/>
  <c r="CB69" i="5"/>
  <c r="CB68" i="5"/>
  <c r="CB67" i="5"/>
  <c r="CB66" i="5"/>
  <c r="CB65" i="5"/>
  <c r="CB64" i="5"/>
  <c r="CB63" i="5"/>
  <c r="CB62" i="5"/>
  <c r="CB61" i="5"/>
  <c r="CB60" i="5"/>
  <c r="CB59" i="5"/>
  <c r="CB58" i="5"/>
  <c r="CB57" i="5"/>
  <c r="CB56" i="5"/>
  <c r="CB55" i="5"/>
  <c r="CB54" i="5"/>
  <c r="CB53" i="5"/>
  <c r="CB52" i="5"/>
  <c r="BX75" i="5"/>
  <c r="BX74" i="5"/>
  <c r="BX73" i="5"/>
  <c r="BX72" i="5"/>
  <c r="BX71" i="5"/>
  <c r="BX70" i="5"/>
  <c r="BX69" i="5"/>
  <c r="BX68" i="5"/>
  <c r="BX67" i="5"/>
  <c r="BX66" i="5"/>
  <c r="BX65" i="5"/>
  <c r="BX64" i="5"/>
  <c r="BX63" i="5"/>
  <c r="BX62" i="5"/>
  <c r="BX61" i="5"/>
  <c r="BX60" i="5"/>
  <c r="BX59" i="5"/>
  <c r="BX58" i="5"/>
  <c r="BX57" i="5"/>
  <c r="BX56" i="5"/>
  <c r="BX55" i="5"/>
  <c r="BX54" i="5"/>
  <c r="BX53" i="5"/>
  <c r="BX52" i="5"/>
  <c r="BT75" i="5"/>
  <c r="BT74" i="5"/>
  <c r="BT73" i="5"/>
  <c r="BT72" i="5"/>
  <c r="BT71" i="5"/>
  <c r="BT70" i="5"/>
  <c r="BT69" i="5"/>
  <c r="BT68" i="5"/>
  <c r="BT67" i="5"/>
  <c r="BT66" i="5"/>
  <c r="BT65" i="5"/>
  <c r="BT64" i="5"/>
  <c r="BT63" i="5"/>
  <c r="BT62" i="5"/>
  <c r="BT61" i="5"/>
  <c r="BT60" i="5"/>
  <c r="BT59" i="5"/>
  <c r="BT58" i="5"/>
  <c r="BT57" i="5"/>
  <c r="BT56" i="5"/>
  <c r="BT55" i="5"/>
  <c r="BT54" i="5"/>
  <c r="BT53" i="5"/>
  <c r="BT52" i="5"/>
  <c r="BP75" i="5"/>
  <c r="BF75" i="5"/>
  <c r="BP74" i="5"/>
  <c r="BP73" i="5"/>
  <c r="BP72" i="5"/>
  <c r="BP71" i="5"/>
  <c r="BP70" i="5"/>
  <c r="BP69" i="5"/>
  <c r="BP68" i="5"/>
  <c r="BP67" i="5"/>
  <c r="BP66" i="5"/>
  <c r="BP65" i="5"/>
  <c r="BP64" i="5"/>
  <c r="BP63" i="5"/>
  <c r="BP62" i="5"/>
  <c r="BP61" i="5"/>
  <c r="BP60" i="5"/>
  <c r="BP59" i="5"/>
  <c r="BP58" i="5"/>
  <c r="BP57" i="5"/>
  <c r="BP56" i="5"/>
  <c r="BP55" i="5"/>
  <c r="BP54" i="5"/>
  <c r="BP53" i="5"/>
  <c r="BP52" i="5"/>
  <c r="T57" i="5"/>
  <c r="T56" i="5"/>
  <c r="T55" i="5"/>
  <c r="T54" i="5"/>
  <c r="T53" i="5"/>
  <c r="BQ108" i="5" l="1"/>
  <c r="CQ31" i="5"/>
  <c r="CQ39" i="5"/>
  <c r="BB40" i="5"/>
  <c r="BJ34" i="5"/>
  <c r="BJ38" i="5"/>
  <c r="BS40" i="5"/>
  <c r="N40" i="5"/>
  <c r="CI40" i="5"/>
  <c r="CQ32" i="5"/>
  <c r="CQ36" i="5"/>
  <c r="AD40" i="5"/>
  <c r="CQ33" i="5"/>
  <c r="CQ37" i="5"/>
  <c r="CA40" i="5"/>
  <c r="BJ35" i="5"/>
  <c r="BJ39" i="5"/>
  <c r="V40" i="5"/>
  <c r="BJ36" i="5"/>
  <c r="BJ31" i="5"/>
  <c r="AL40" i="5"/>
  <c r="BJ33" i="5"/>
  <c r="BJ37" i="5"/>
  <c r="BJ32" i="5"/>
  <c r="AT40" i="5"/>
  <c r="CQ34" i="5"/>
  <c r="CQ38" i="5"/>
  <c r="F40" i="5"/>
  <c r="BJ30" i="5"/>
  <c r="CQ30" i="5"/>
  <c r="CQ40" i="5" l="1"/>
  <c r="CO41" i="5" s="1"/>
  <c r="BJ40" i="5"/>
  <c r="BH41" i="5" s="1"/>
  <c r="BP51" i="5" l="1"/>
  <c r="BP77" i="5" s="1"/>
  <c r="T74" i="5"/>
  <c r="T73" i="5"/>
  <c r="T72" i="5"/>
  <c r="T71" i="5"/>
  <c r="T70" i="5"/>
  <c r="T69" i="5"/>
  <c r="T68" i="5"/>
  <c r="T67" i="5"/>
  <c r="T66" i="5"/>
  <c r="T65" i="5"/>
  <c r="T64" i="5"/>
  <c r="T63" i="5"/>
  <c r="T62" i="5"/>
  <c r="T61" i="5"/>
  <c r="T60" i="5"/>
  <c r="T59" i="5"/>
  <c r="T58" i="5"/>
  <c r="T52" i="5"/>
  <c r="BF51" i="5"/>
  <c r="AM62" i="5"/>
  <c r="AM74" i="5"/>
  <c r="AM73" i="5"/>
  <c r="AM72" i="5"/>
  <c r="AM71" i="5"/>
  <c r="AM70" i="5"/>
  <c r="AM69" i="5"/>
  <c r="AM68" i="5"/>
  <c r="AM67" i="5"/>
  <c r="AM66" i="5"/>
  <c r="AM65" i="5"/>
  <c r="AM64" i="5"/>
  <c r="AM63" i="5"/>
  <c r="AM61" i="5"/>
  <c r="AM60" i="5"/>
  <c r="AM59" i="5"/>
  <c r="AM58" i="5"/>
  <c r="AM57" i="5"/>
  <c r="AM56" i="5"/>
  <c r="AM55" i="5"/>
  <c r="AM54" i="5"/>
  <c r="AM53" i="5"/>
  <c r="AM52" i="5"/>
  <c r="BF58" i="5"/>
  <c r="J58" i="5"/>
  <c r="BF57" i="5"/>
  <c r="J57" i="5"/>
  <c r="BF56" i="5"/>
  <c r="J56" i="5"/>
  <c r="BF59" i="5"/>
  <c r="J59" i="5"/>
  <c r="BF60" i="5"/>
  <c r="J60" i="5"/>
  <c r="BF61" i="5"/>
  <c r="J61" i="5"/>
  <c r="BF62" i="5"/>
  <c r="J62" i="5"/>
  <c r="BF63" i="5"/>
  <c r="J63" i="5"/>
  <c r="BF64" i="5"/>
  <c r="J64" i="5"/>
  <c r="BF65" i="5"/>
  <c r="J65" i="5"/>
  <c r="BF66" i="5"/>
  <c r="J66" i="5"/>
  <c r="BF67" i="5"/>
  <c r="J67" i="5"/>
  <c r="BF68" i="5"/>
  <c r="J68" i="5"/>
  <c r="BF69" i="5"/>
  <c r="J69" i="5"/>
  <c r="BF70" i="5"/>
  <c r="J70" i="5"/>
  <c r="BF71" i="5"/>
  <c r="J71" i="5"/>
  <c r="BF72" i="5"/>
  <c r="J72" i="5"/>
  <c r="BF73" i="5"/>
  <c r="J73" i="5"/>
  <c r="BF74" i="5"/>
  <c r="J74" i="5"/>
  <c r="AM75" i="5"/>
  <c r="J75" i="5"/>
  <c r="BF55" i="5"/>
  <c r="J55" i="5"/>
  <c r="CB51" i="5"/>
  <c r="CB77" i="5" s="1"/>
  <c r="BX51" i="5"/>
  <c r="BX77" i="5" s="1"/>
  <c r="BT51" i="5"/>
  <c r="BT77" i="5" s="1"/>
  <c r="T51" i="5"/>
  <c r="BF54" i="5"/>
  <c r="J54" i="5"/>
  <c r="BF53" i="5"/>
  <c r="J53" i="5"/>
  <c r="BF52" i="5"/>
  <c r="J52" i="5"/>
  <c r="J51" i="5"/>
  <c r="BF77" i="5" l="1"/>
  <c r="AM77" i="5"/>
  <c r="T77" i="5"/>
  <c r="J77" i="5"/>
  <c r="CG24" i="5" l="1"/>
  <c r="CG23" i="5"/>
  <c r="CG22" i="5"/>
  <c r="CG21" i="5"/>
  <c r="CG20" i="5"/>
  <c r="CG19" i="5"/>
  <c r="CG18" i="5"/>
  <c r="CG17" i="5"/>
  <c r="CG16" i="5"/>
  <c r="CG15" i="5"/>
  <c r="BY24" i="5"/>
  <c r="BY23" i="5"/>
  <c r="BY22" i="5"/>
  <c r="BY21" i="5"/>
  <c r="BY20" i="5"/>
  <c r="BY19" i="5"/>
  <c r="BY18" i="5"/>
  <c r="BY17" i="5"/>
  <c r="BY16" i="5"/>
  <c r="BY15" i="5"/>
  <c r="CQ24" i="5"/>
  <c r="CQ22" i="5"/>
  <c r="CQ18" i="5"/>
  <c r="CQ17" i="5"/>
  <c r="CQ15" i="5"/>
  <c r="BQ24" i="5"/>
  <c r="BQ23" i="5"/>
  <c r="BQ22" i="5"/>
  <c r="BQ21" i="5"/>
  <c r="BQ20" i="5"/>
  <c r="BQ19" i="5"/>
  <c r="BQ18" i="5"/>
  <c r="BQ17" i="5"/>
  <c r="BQ16" i="5"/>
  <c r="BQ15" i="5"/>
  <c r="AZ24" i="5"/>
  <c r="AZ23" i="5"/>
  <c r="AZ22" i="5"/>
  <c r="AZ21" i="5"/>
  <c r="AZ20" i="5"/>
  <c r="AZ19" i="5"/>
  <c r="AZ18" i="5"/>
  <c r="AZ17" i="5"/>
  <c r="AZ16" i="5"/>
  <c r="AZ15" i="5"/>
  <c r="AR24" i="5"/>
  <c r="AR23" i="5"/>
  <c r="AR22" i="5"/>
  <c r="AR21" i="5"/>
  <c r="AR20" i="5"/>
  <c r="AR19" i="5"/>
  <c r="AR18" i="5"/>
  <c r="AR17" i="5"/>
  <c r="AR16" i="5"/>
  <c r="AR15" i="5"/>
  <c r="AJ24" i="5"/>
  <c r="AJ23" i="5"/>
  <c r="AJ22" i="5"/>
  <c r="AJ21" i="5"/>
  <c r="AJ20" i="5"/>
  <c r="AJ19" i="5"/>
  <c r="AJ18" i="5"/>
  <c r="AJ17" i="5"/>
  <c r="AJ16" i="5"/>
  <c r="AJ15" i="5"/>
  <c r="AB24" i="5"/>
  <c r="AB23" i="5"/>
  <c r="AB22" i="5"/>
  <c r="AB21" i="5"/>
  <c r="AB20" i="5"/>
  <c r="AB19" i="5"/>
  <c r="AB18" i="5"/>
  <c r="AB17" i="5"/>
  <c r="AB16" i="5"/>
  <c r="AB15" i="5"/>
  <c r="T24" i="5"/>
  <c r="T23" i="5"/>
  <c r="T22" i="5"/>
  <c r="T21" i="5"/>
  <c r="T20" i="5"/>
  <c r="T19" i="5"/>
  <c r="T18" i="5"/>
  <c r="T17" i="5"/>
  <c r="T16" i="5"/>
  <c r="T15" i="5"/>
  <c r="L15" i="5"/>
  <c r="L24" i="5"/>
  <c r="L23" i="5"/>
  <c r="L22" i="5"/>
  <c r="L21" i="5"/>
  <c r="L20" i="5"/>
  <c r="L19" i="5"/>
  <c r="L18" i="5"/>
  <c r="L17" i="5"/>
  <c r="L16" i="5"/>
  <c r="D24" i="5"/>
  <c r="D23" i="5"/>
  <c r="D22" i="5"/>
  <c r="D21" i="5"/>
  <c r="D20" i="5"/>
  <c r="D19" i="5"/>
  <c r="D18" i="5"/>
  <c r="D17" i="5"/>
  <c r="D16" i="5"/>
  <c r="CO16" i="5" l="1"/>
  <c r="CO24" i="5"/>
  <c r="CO18" i="5"/>
  <c r="CO19" i="5"/>
  <c r="CO21" i="5"/>
  <c r="CQ19" i="5"/>
  <c r="CO22" i="5"/>
  <c r="CQ20" i="5"/>
  <c r="CO20" i="5"/>
  <c r="CO15" i="5"/>
  <c r="CO23" i="5"/>
  <c r="CQ21" i="5"/>
  <c r="CA25" i="5"/>
  <c r="CO17" i="5"/>
  <c r="CQ23" i="5"/>
  <c r="CQ16" i="5"/>
  <c r="BY25" i="5"/>
  <c r="CI25" i="5"/>
  <c r="CG25" i="5"/>
  <c r="BS25" i="5"/>
  <c r="BQ25" i="5"/>
  <c r="BJ18" i="5"/>
  <c r="BJ16" i="5"/>
  <c r="BJ20" i="5"/>
  <c r="BH15" i="5"/>
  <c r="BJ22" i="5"/>
  <c r="BH21" i="5"/>
  <c r="BH17" i="5"/>
  <c r="BJ24" i="5"/>
  <c r="BH23" i="5"/>
  <c r="BJ17" i="5"/>
  <c r="BH18" i="5"/>
  <c r="BH22" i="5"/>
  <c r="BJ21" i="5"/>
  <c r="BH20" i="5"/>
  <c r="BH19" i="5"/>
  <c r="BH16" i="5"/>
  <c r="BH24" i="5"/>
  <c r="AZ25" i="5"/>
  <c r="BJ15" i="5"/>
  <c r="BJ19" i="5"/>
  <c r="BJ23" i="5"/>
  <c r="BB25" i="5"/>
  <c r="AR25" i="5"/>
  <c r="AT25" i="5"/>
  <c r="AJ25" i="5"/>
  <c r="AL25" i="5"/>
  <c r="AB25" i="5"/>
  <c r="AD25" i="5"/>
  <c r="V25" i="5"/>
  <c r="N25" i="5"/>
  <c r="T25" i="5"/>
  <c r="L25" i="5"/>
  <c r="F25" i="5"/>
  <c r="D25" i="5"/>
  <c r="CO25" i="5" l="1"/>
  <c r="CQ25" i="5"/>
  <c r="BJ25" i="5"/>
  <c r="BH25" i="5"/>
  <c r="CO26" i="5" l="1"/>
  <c r="CO43" i="5" s="1"/>
  <c r="BH26" i="5"/>
  <c r="BH43" i="5" s="1"/>
  <c r="A3" i="6" l="1"/>
  <c r="A2" i="6"/>
  <c r="Z8" i="5"/>
  <c r="P8" i="5"/>
  <c r="P6" i="5"/>
  <c r="P4" i="5"/>
  <c r="BH8" i="5"/>
  <c r="BH7" i="5"/>
  <c r="BH6" i="5"/>
  <c r="BH5" i="5"/>
  <c r="BH4" i="5"/>
  <c r="P5" i="5"/>
  <c r="V9" i="6"/>
  <c r="N9" i="6"/>
  <c r="N7" i="6"/>
  <c r="AF9" i="6"/>
  <c r="AF8" i="6"/>
  <c r="AF7" i="6"/>
  <c r="AF6" i="6"/>
  <c r="AF5" i="6"/>
  <c r="N6" i="6"/>
  <c r="A2" i="5"/>
  <c r="A1" i="5"/>
  <c r="N5" i="6"/>
</calcChain>
</file>

<file path=xl/sharedStrings.xml><?xml version="1.0" encoding="utf-8"?>
<sst xmlns="http://schemas.openxmlformats.org/spreadsheetml/2006/main" count="1122" uniqueCount="545">
  <si>
    <r>
      <t xml:space="preserve">Program Name:  </t>
    </r>
    <r>
      <rPr>
        <sz val="8"/>
        <rFont val="Calibri"/>
        <family val="2"/>
        <scheme val="minor"/>
      </rPr>
      <t xml:space="preserve">(same as on Statement of Work): </t>
    </r>
  </si>
  <si>
    <t>Grantee Name:</t>
  </si>
  <si>
    <r>
      <t xml:space="preserve">Name of Program </t>
    </r>
    <r>
      <rPr>
        <sz val="8"/>
        <rFont val="Calibri"/>
        <family val="2"/>
        <scheme val="minor"/>
      </rPr>
      <t>(given by Grantee):;</t>
    </r>
  </si>
  <si>
    <t>Contact Name (s)</t>
  </si>
  <si>
    <t xml:space="preserve">Physical Address of Program: </t>
  </si>
  <si>
    <t>Grant Number:</t>
  </si>
  <si>
    <r>
      <rPr>
        <b/>
        <sz val="11"/>
        <rFont val="Calibri"/>
        <family val="2"/>
        <scheme val="minor"/>
      </rPr>
      <t xml:space="preserve">Month Being Reported </t>
    </r>
    <r>
      <rPr>
        <sz val="8"/>
        <rFont val="Calibri"/>
        <family val="2"/>
        <scheme val="minor"/>
      </rPr>
      <t>(Month/Year)</t>
    </r>
    <r>
      <rPr>
        <sz val="11"/>
        <rFont val="Calibri"/>
        <family val="2"/>
        <scheme val="minor"/>
      </rPr>
      <t>:</t>
    </r>
  </si>
  <si>
    <t>July 1 - 31</t>
  </si>
  <si>
    <t>Program Code :</t>
  </si>
  <si>
    <t xml:space="preserve">Pick List </t>
  </si>
  <si>
    <t>August 1 - 31</t>
  </si>
  <si>
    <t>September 1 - 30</t>
  </si>
  <si>
    <t>October 1 - 31</t>
  </si>
  <si>
    <t>November 1 - 30</t>
  </si>
  <si>
    <t>December 1 - 31</t>
  </si>
  <si>
    <t>January 1 - 31</t>
  </si>
  <si>
    <t>February 1 - 28/29</t>
  </si>
  <si>
    <t>March 1 - 31</t>
  </si>
  <si>
    <t>April 1 - 30</t>
  </si>
  <si>
    <t>May 1 - 31</t>
  </si>
  <si>
    <t>June 1 - 30</t>
  </si>
  <si>
    <t>MONTH</t>
  </si>
  <si>
    <t>YEAR</t>
  </si>
  <si>
    <t>African American /Black</t>
  </si>
  <si>
    <t>Asian</t>
  </si>
  <si>
    <t>White</t>
  </si>
  <si>
    <t>More than one race reported</t>
  </si>
  <si>
    <t>Native Hawaiian / Other Pacific Islander</t>
  </si>
  <si>
    <t>Unknown</t>
  </si>
  <si>
    <t>Not Hispanic or Latino</t>
  </si>
  <si>
    <t xml:space="preserve">Hispanic-Latino </t>
  </si>
  <si>
    <t>Male</t>
  </si>
  <si>
    <t>Female</t>
  </si>
  <si>
    <t>RACE</t>
  </si>
  <si>
    <t>ETHNICITY</t>
  </si>
  <si>
    <t>GENDER</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</si>
  <si>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</si>
  <si>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</si>
  <si>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</si>
  <si>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</si>
  <si>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</si>
  <si>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</si>
  <si>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</si>
  <si>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</si>
  <si>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</si>
  <si>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</si>
  <si>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</si>
  <si>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</si>
  <si>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</si>
  <si>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</si>
  <si>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</si>
  <si>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</si>
  <si>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</si>
  <si>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</si>
  <si>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</si>
  <si>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</si>
  <si>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</si>
  <si>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</si>
  <si>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</si>
  <si>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</si>
  <si>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</si>
  <si>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</si>
  <si>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McDowell</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</si>
  <si>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</si>
  <si>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</si>
  <si>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</si>
  <si>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</si>
  <si>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</si>
  <si>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</si>
  <si>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</si>
  <si>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</si>
  <si>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</si>
  <si>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</si>
  <si>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</si>
  <si>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</si>
  <si>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</si>
  <si>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</si>
  <si>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</si>
  <si>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</si>
  <si>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</si>
  <si>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</si>
  <si>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</si>
  <si>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</si>
  <si>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</si>
  <si>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</si>
  <si>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</si>
  <si>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</si>
  <si>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</si>
  <si>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</si>
  <si>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</si>
  <si>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</si>
  <si>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COUNTY</t>
  </si>
  <si>
    <t>REGION</t>
  </si>
  <si>
    <t>YES</t>
  </si>
  <si>
    <t>NO</t>
  </si>
  <si>
    <t>YES - NO</t>
  </si>
  <si>
    <t>Mobile Crisis Unit</t>
  </si>
  <si>
    <t>MAT</t>
  </si>
  <si>
    <t>Additional Supports Needed / Requested</t>
  </si>
  <si>
    <t>Suicide Prevention Lifeline</t>
  </si>
  <si>
    <t>Crisis Text Line</t>
  </si>
  <si>
    <t>Family</t>
  </si>
  <si>
    <t xml:space="preserve">Faith-Base Organization </t>
  </si>
  <si>
    <t xml:space="preserve">Additional Needs or Information: </t>
  </si>
  <si>
    <t>Substance Abuse Treatment</t>
  </si>
  <si>
    <t>Homelessness</t>
  </si>
  <si>
    <t>Military / Veteran</t>
  </si>
  <si>
    <t>Domestic Violence</t>
  </si>
  <si>
    <t>Support Group</t>
  </si>
  <si>
    <t>Survivor of Suicide Loss</t>
  </si>
  <si>
    <t>Psychiatric Hospitalization</t>
  </si>
  <si>
    <t>Education / Post-Secondary</t>
  </si>
  <si>
    <t>Community Organization</t>
  </si>
  <si>
    <t>School-based Health Center</t>
  </si>
  <si>
    <t>Suicide Attempt Survivor</t>
  </si>
  <si>
    <t>Ed - K-12</t>
  </si>
  <si>
    <t>Higher Ed</t>
  </si>
  <si>
    <t>SA</t>
  </si>
  <si>
    <t>Justice</t>
  </si>
  <si>
    <t xml:space="preserve">Community (Specify) </t>
  </si>
  <si>
    <t>Primary Role of Participants</t>
  </si>
  <si>
    <t xml:space="preserve">AGE - NON PREGNANT CLIENTS </t>
  </si>
  <si>
    <t xml:space="preserve">Unknown </t>
  </si>
  <si>
    <t xml:space="preserve">TOTAL </t>
  </si>
  <si>
    <t>Hispanic or Latino</t>
  </si>
  <si>
    <t>0-12</t>
  </si>
  <si>
    <t>13-17</t>
  </si>
  <si>
    <t>18-20</t>
  </si>
  <si>
    <t>21-24</t>
  </si>
  <si>
    <t>25-34</t>
  </si>
  <si>
    <t>35-44</t>
  </si>
  <si>
    <t>45-54</t>
  </si>
  <si>
    <t>55-64</t>
  </si>
  <si>
    <t>65 -74</t>
  </si>
  <si>
    <t xml:space="preserve">75 and older </t>
  </si>
  <si>
    <t xml:space="preserve">Black or African American </t>
  </si>
  <si>
    <t>TOTAL</t>
  </si>
  <si>
    <t>Transgender</t>
  </si>
  <si>
    <t xml:space="preserve">Do not identify as female, male or transgender </t>
  </si>
  <si>
    <t>Puerto Rican</t>
  </si>
  <si>
    <t>Cuban</t>
  </si>
  <si>
    <t>Dominican</t>
  </si>
  <si>
    <t>Central American</t>
  </si>
  <si>
    <t>South American</t>
  </si>
  <si>
    <t xml:space="preserve">Other </t>
  </si>
  <si>
    <t>Region 1</t>
  </si>
  <si>
    <t>Region 2</t>
  </si>
  <si>
    <t>Region 3</t>
  </si>
  <si>
    <t>Richie</t>
  </si>
  <si>
    <t>Region 4</t>
  </si>
  <si>
    <t>Region 5</t>
  </si>
  <si>
    <t>Region 6</t>
  </si>
  <si>
    <t>Out of State</t>
  </si>
  <si>
    <t>Additional Supports Needed/Requested</t>
  </si>
  <si>
    <t xml:space="preserve">SEXUAL ORIENTATION </t>
  </si>
  <si>
    <t>heterosexual</t>
  </si>
  <si>
    <t>gay/lesbian</t>
  </si>
  <si>
    <t>bisexual</t>
  </si>
  <si>
    <t>not sure</t>
  </si>
  <si>
    <t xml:space="preserve">TREATMENT </t>
  </si>
  <si>
    <t>OUD Treatment</t>
  </si>
  <si>
    <t xml:space="preserve">Other TX Services (specify in Notes) </t>
  </si>
  <si>
    <t>MAT &amp; OUD Treatment</t>
  </si>
  <si>
    <t>MAT &amp; Other TX Services (specify in Notes)</t>
  </si>
  <si>
    <t xml:space="preserve">MAT, OUD TX &amp; Other TX Services (Specify in Notes) </t>
  </si>
  <si>
    <t xml:space="preserve">Source for Referral </t>
  </si>
  <si>
    <t>MH Provider</t>
  </si>
  <si>
    <t>School Staff</t>
  </si>
  <si>
    <t>Child Welfare</t>
  </si>
  <si>
    <t xml:space="preserve">Probation Officer </t>
  </si>
  <si>
    <t>Primary Care Physician</t>
  </si>
  <si>
    <t>Emergency Room / Department</t>
  </si>
  <si>
    <t>Law Enforcement</t>
  </si>
  <si>
    <t>Self</t>
  </si>
  <si>
    <t xml:space="preserve">Internal (Grantee referral) </t>
  </si>
  <si>
    <t>Other - Specify in Note Section</t>
  </si>
  <si>
    <t>Mandatory</t>
  </si>
  <si>
    <t>Both Mandatory and EBT</t>
  </si>
  <si>
    <t>Other (Specify in Notes)</t>
  </si>
  <si>
    <t>Training</t>
  </si>
  <si>
    <t>Cross Planning Initiatives</t>
  </si>
  <si>
    <t>Service Activity Implemented with other sectors</t>
  </si>
  <si>
    <t xml:space="preserve">Meeting Attended </t>
  </si>
  <si>
    <t>Specific Activities with goal  to Reach High-Risk Populations (Specify Population in Notes)</t>
  </si>
  <si>
    <t>Peer Reviews</t>
  </si>
  <si>
    <t>Peer Support Groups</t>
  </si>
  <si>
    <t>Coalitions</t>
  </si>
  <si>
    <t xml:space="preserve">Materials Distributed (specify kind &amp; amount in notes) </t>
  </si>
  <si>
    <t xml:space="preserve">Other (Specify in Notes) </t>
  </si>
  <si>
    <t xml:space="preserve">Activities / Events </t>
  </si>
  <si>
    <t xml:space="preserve">Living Situation </t>
  </si>
  <si>
    <t>Owned or rented Home</t>
  </si>
  <si>
    <t>Someone else's home</t>
  </si>
  <si>
    <t>Homeless</t>
  </si>
  <si>
    <t xml:space="preserve">Residential SA TX </t>
  </si>
  <si>
    <t>Detox (Inpatient, Residential)</t>
  </si>
  <si>
    <t xml:space="preserve">Correctional Facility </t>
  </si>
  <si>
    <t>Hospital (Medical)</t>
  </si>
  <si>
    <t>Hospital (Psychiatric)</t>
  </si>
  <si>
    <t xml:space="preserve">Other (Specify) </t>
  </si>
  <si>
    <t>Healthcare Industry</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</si>
  <si>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</si>
  <si>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</si>
  <si>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</si>
  <si>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</si>
  <si>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</si>
  <si>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</si>
  <si>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</si>
  <si>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</si>
  <si>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Occupation / Student </t>
  </si>
  <si>
    <t xml:space="preserve">Referred to: </t>
  </si>
  <si>
    <t>Public / Private MH Center</t>
  </si>
  <si>
    <t xml:space="preserve">Emergency Room / Emergency Dept. </t>
  </si>
  <si>
    <t xml:space="preserve">Diagnosis (es) </t>
  </si>
  <si>
    <t>Opioid Use Disorder (OUD)</t>
  </si>
  <si>
    <t>Substance Use Disorder (SUD)</t>
  </si>
  <si>
    <t>Mental Health (MH)</t>
  </si>
  <si>
    <t>OUD &amp;  MH</t>
  </si>
  <si>
    <t>SUD &amp; MH</t>
  </si>
  <si>
    <t>Consumer feedback - Surveys</t>
  </si>
  <si>
    <t>Focus group</t>
  </si>
  <si>
    <t>Key-informant interview</t>
  </si>
  <si>
    <t>Survey</t>
  </si>
  <si>
    <t xml:space="preserve">Other (specify in Note Section) </t>
  </si>
  <si>
    <t xml:space="preserve">Screening </t>
  </si>
  <si>
    <t>screened positive</t>
  </si>
  <si>
    <t>screened negative</t>
  </si>
  <si>
    <t xml:space="preserve">refused </t>
  </si>
  <si>
    <t xml:space="preserve">not completed (explain  in notes) </t>
  </si>
  <si>
    <t xml:space="preserve">Insurance </t>
  </si>
  <si>
    <t>I/DD Waiver</t>
  </si>
  <si>
    <t>BBHHF</t>
  </si>
  <si>
    <t>Medicaid Only</t>
  </si>
  <si>
    <t>Both Medicaid &amp; Non Medicaid Sources</t>
  </si>
  <si>
    <t>Other Insurance</t>
  </si>
  <si>
    <t xml:space="preserve">Disposition of Referral </t>
  </si>
  <si>
    <t>accepted</t>
  </si>
  <si>
    <t xml:space="preserve">refused (explain in notes) </t>
  </si>
  <si>
    <t>2.1:  ASAM Level of Care - Intensive Outpatient</t>
  </si>
  <si>
    <t>2.5:  ASAM Level of Care - Partial Hospitalization Services</t>
  </si>
  <si>
    <t>3.1:  Clinically Managed Low-Intensity Residential Services</t>
  </si>
  <si>
    <t>3.3: Clinically Managed Population-Specific High-Intensity Residential Services</t>
  </si>
  <si>
    <t>3.5:  Clinically Managed High Intensity Residential Services</t>
  </si>
  <si>
    <t>3.7: Medically Monitored Intensive Inpatient Services</t>
  </si>
  <si>
    <t xml:space="preserve">4: Medical Managed Intensive Inpatient Services </t>
  </si>
  <si>
    <t>Recovery home: 0-59 beds</t>
  </si>
  <si>
    <t>Recovery home: 60 &gt; beds</t>
  </si>
  <si>
    <t xml:space="preserve">MAT USED </t>
  </si>
  <si>
    <t>Methadone</t>
  </si>
  <si>
    <t>Buprenorphine Oral</t>
  </si>
  <si>
    <t>Buprenorphine - Injectable</t>
  </si>
  <si>
    <t>Buprenorphine Implant</t>
  </si>
  <si>
    <t>Naltrexone - Oral</t>
  </si>
  <si>
    <t xml:space="preserve">Naltrexone - Injectable </t>
  </si>
  <si>
    <t xml:space="preserve">Did not use MAT </t>
  </si>
  <si>
    <t xml:space="preserve">Changed MAT Type (Explain in Notes) </t>
  </si>
  <si>
    <t xml:space="preserve">Completed Program </t>
  </si>
  <si>
    <t>Mutually Agreed Cessation</t>
  </si>
  <si>
    <t>Withdrew / Declined</t>
  </si>
  <si>
    <t>Incarcerated</t>
  </si>
  <si>
    <t xml:space="preserve">Other (Specify in notes) </t>
  </si>
  <si>
    <t xml:space="preserve">Reason for Discharge </t>
  </si>
  <si>
    <t xml:space="preserve">On MAT at time of Admission </t>
  </si>
  <si>
    <t xml:space="preserve">N/A already on MAT </t>
  </si>
  <si>
    <t>Follow-up after discharge</t>
  </si>
  <si>
    <t>Unable to Contact (Explain in Notes)</t>
  </si>
  <si>
    <t>Referral to MAT while in program</t>
  </si>
  <si>
    <t xml:space="preserve">Admitted to MAT while in program </t>
  </si>
  <si>
    <t>pregnancy Status</t>
  </si>
  <si>
    <t xml:space="preserve">N/A Male </t>
  </si>
  <si>
    <t>Black or African American</t>
  </si>
  <si>
    <t xml:space="preserve">Asian </t>
  </si>
  <si>
    <t xml:space="preserve">COUNITIES &amp; OUT OF STATE </t>
  </si>
  <si>
    <t xml:space="preserve">Veteran </t>
  </si>
  <si>
    <t>denied (explain in notes)</t>
  </si>
  <si>
    <t>Clinically Referred out</t>
  </si>
  <si>
    <t xml:space="preserve">ASAM &amp; RECOVERY HOME LEVEL OF CARE </t>
  </si>
  <si>
    <t xml:space="preserve">Contact Phone(s): </t>
  </si>
  <si>
    <t>#</t>
  </si>
  <si>
    <t xml:space="preserve">Month </t>
  </si>
  <si>
    <t>American Indian / Alaska Native</t>
  </si>
  <si>
    <t xml:space="preserve">American Indian / Alaska Native </t>
  </si>
  <si>
    <t xml:space="preserve">More than One Race Reported </t>
  </si>
  <si>
    <t>Native Hawaiian or other Pacific Islander</t>
  </si>
  <si>
    <t>Alaska native</t>
  </si>
  <si>
    <t xml:space="preserve">White </t>
  </si>
  <si>
    <t xml:space="preserve">American Indian </t>
  </si>
  <si>
    <t xml:space="preserve">Mexican </t>
  </si>
  <si>
    <t>Shelter</t>
  </si>
  <si>
    <t>Street / Outdoors</t>
  </si>
  <si>
    <t>Institution Hospital/ Nursing Home</t>
  </si>
  <si>
    <t xml:space="preserve">Institution Jail/ Prison </t>
  </si>
  <si>
    <t>Housing Own/Rent</t>
  </si>
  <si>
    <t>Housing Someone else's</t>
  </si>
  <si>
    <t>Housing Halfway House</t>
  </si>
  <si>
    <t>Housing Residential Treatment</t>
  </si>
  <si>
    <t>Housing Dorm/ College Residence</t>
  </si>
  <si>
    <t>NOTES</t>
  </si>
  <si>
    <t>Evidence Based Training (EBT)</t>
  </si>
  <si>
    <t xml:space="preserve">4A:  Grantee - Program Information     (ALL ENTRIES - CHANGES NEED TO BE MADE on the BASE GRANTEE INFO &amp; UPDATE TAB)  </t>
  </si>
  <si>
    <t xml:space="preserve">4B: Consumer Feedback </t>
  </si>
  <si>
    <t>Date of Consumer Feedback Activity  00/00/0000</t>
  </si>
  <si>
    <t xml:space="preserve">Type of Consumer Feedback Activity </t>
  </si>
  <si>
    <t xml:space="preserve">Survey Completed for: </t>
  </si>
  <si>
    <t>Did the feedback indicate that the Service / Activity was accessible to  individuals?</t>
  </si>
  <si>
    <t>Gender</t>
  </si>
  <si>
    <t>Race</t>
  </si>
  <si>
    <t>Initials of QRT Staff</t>
  </si>
  <si>
    <t xml:space="preserve">3:  Pertinent Information Regarding the Program </t>
  </si>
  <si>
    <t>Aggregate Results: Stake holder Concerns: What information was learned that can lead to improvement of Service Delivery?</t>
  </si>
  <si>
    <t>Service Rendered</t>
  </si>
  <si>
    <t xml:space="preserve">Information that was received </t>
  </si>
  <si>
    <t>Both service rendered and Information that was received</t>
  </si>
  <si>
    <t>Age</t>
  </si>
  <si>
    <t>phone</t>
  </si>
  <si>
    <t>other</t>
  </si>
  <si>
    <t>00/00/0000</t>
  </si>
  <si>
    <t xml:space="preserve">Mandatory </t>
  </si>
  <si>
    <t>text messages</t>
  </si>
  <si>
    <t xml:space="preserve"> remained on the following MAT during stay in QRT</t>
  </si>
  <si>
    <t xml:space="preserve">CLIENT ACTIVITY </t>
  </si>
  <si>
    <t xml:space="preserve">If any overdoses occurred after initial referral, how many </t>
  </si>
  <si>
    <t># of Follow-up Contacts with Overdose Survivors who are not ready for TX</t>
  </si>
  <si>
    <t># Family Members or Friends provided Treatment resource Information</t>
  </si>
  <si>
    <t xml:space="preserve">ACTIVITIES MEETINGS EVENTS </t>
  </si>
  <si>
    <t xml:space="preserve">Aggregate Results What are the Proposed/Implemented Resolutions? </t>
  </si>
  <si>
    <t xml:space="preserve"> Client referred for MAT at admission or during stay with QRT</t>
  </si>
  <si>
    <t>Harm Reduction Staff</t>
  </si>
  <si>
    <t>Community Group</t>
  </si>
  <si>
    <t>Military</t>
  </si>
  <si>
    <t>Train the Trainer</t>
  </si>
  <si>
    <t>Schools</t>
  </si>
  <si>
    <t>Paramedic</t>
  </si>
  <si>
    <t>Nurses</t>
  </si>
  <si>
    <t>face-to-face</t>
  </si>
  <si>
    <t>Type of Contact</t>
  </si>
  <si>
    <t>Client on MAT at time of Admission</t>
  </si>
  <si>
    <t xml:space="preserve">Treatment Types involved in </t>
  </si>
  <si>
    <t>NONE</t>
  </si>
  <si>
    <t>MAT ONLY</t>
  </si>
  <si>
    <t xml:space="preserve">Discontinued TX before 3 months (after initial contact) </t>
  </si>
  <si>
    <t xml:space="preserve">What Treatment Type(s) Was client engaged in after 3 months?  (after initial contact) </t>
  </si>
  <si>
    <t xml:space="preserve">Entered Treatment Programs Other than MAT (If YES List type in Notes) </t>
  </si>
  <si>
    <t xml:space="preserve">  Grantee - Program Information     (ALL ENTRIES - CHANGES NEED TO BE MADE on the BASE GRANTEE INFO &amp; UPDATE TAB)  </t>
  </si>
  <si>
    <t xml:space="preserve">Summary of data from various tabs </t>
  </si>
  <si>
    <t>TOTAL:</t>
  </si>
  <si>
    <t>Date Range</t>
  </si>
  <si>
    <t xml:space="preserve">Non - Fatal Overdoses </t>
  </si>
  <si>
    <t>prior to 09/30/2019</t>
  </si>
  <si>
    <t>10/01/2019-10/31/2019</t>
  </si>
  <si>
    <t>11/1/2019 -11/30/2019</t>
  </si>
  <si>
    <t>12/01/2019 - 12/31/2019</t>
  </si>
  <si>
    <t>01/01/2020 -01/31/2020</t>
  </si>
  <si>
    <t>02/01/2020 -02/29/2020</t>
  </si>
  <si>
    <t>03/01/2020 - 03/31/2020</t>
  </si>
  <si>
    <t xml:space="preserve">04/01/2020 - 04/30/2020 </t>
  </si>
  <si>
    <t>06/01/2020 -06/30/2020</t>
  </si>
  <si>
    <t>07/01/2020 -07/31/2020</t>
  </si>
  <si>
    <t xml:space="preserve">08/01/2020 - 08/31/2020 </t>
  </si>
  <si>
    <t>09/01/2020 - 09/30/2020</t>
  </si>
  <si>
    <t xml:space="preserve">10/01/2020 - 10/31/2020 </t>
  </si>
  <si>
    <t>11/01/2020 -11/30/2020</t>
  </si>
  <si>
    <t>12/01/2020 - 12/31/2020</t>
  </si>
  <si>
    <t>05/01/2020 -05/31/2020</t>
  </si>
  <si>
    <t xml:space="preserve">02/01/2021 - 02/28/2021 </t>
  </si>
  <si>
    <t>05/01/2021 - 05/31-2021</t>
  </si>
  <si>
    <t>06/01/2021 -06/30/2021</t>
  </si>
  <si>
    <t>08/01/2021 -08/31/2021</t>
  </si>
  <si>
    <t>07/01/2021- 07/31/2021</t>
  </si>
  <si>
    <t>09/01/2021 -09/30/2021</t>
  </si>
  <si>
    <t xml:space="preserve">Number of Referrals to the QRT </t>
  </si>
  <si>
    <t xml:space="preserve">Number of Initial Contacts by the QRT </t>
  </si>
  <si>
    <t>Initial contact by Phone</t>
  </si>
  <si>
    <t>Initial contact face-to-face</t>
  </si>
  <si>
    <t>Initial contact Other</t>
  </si>
  <si>
    <t>03/01/2021 - 03/30/2021</t>
  </si>
  <si>
    <t>04/01/2021 - 04/30/2021</t>
  </si>
  <si>
    <t xml:space="preserve">Naloxone Kit Distributed Post Overdose </t>
  </si>
  <si>
    <t>initial contact  text messages</t>
  </si>
  <si>
    <t xml:space="preserve">TOTAL - NON PREGNANT CLIENTS </t>
  </si>
  <si>
    <t xml:space="preserve">TOTAL - NON  PREGNANT CLIENTS: </t>
  </si>
  <si>
    <t xml:space="preserve">TOTAL - PREGNANT CLIENTS </t>
  </si>
  <si>
    <t xml:space="preserve">TOTAL - PREGNANT CLIENTS: </t>
  </si>
  <si>
    <t xml:space="preserve">TOTAL NON PREGNANT CLIENTS AND PREGNANT CLIENTS: </t>
  </si>
  <si>
    <t xml:space="preserve">AGE -PREGNANT CLIENTS </t>
  </si>
  <si>
    <t xml:space="preserve">Admitted to MAT </t>
  </si>
  <si>
    <t>Pregnant</t>
  </si>
  <si>
    <t>Medication Assisted Treatment (MAT)</t>
  </si>
  <si>
    <t xml:space="preserve">TOTAL ALL TYPES OF MAT </t>
  </si>
  <si>
    <t>01/01/2021 - 01/31/2021</t>
  </si>
  <si>
    <t>01/01/2021 - 01/312021</t>
  </si>
  <si>
    <r>
      <t xml:space="preserve">Changed MAT Type </t>
    </r>
    <r>
      <rPr>
        <sz val="8"/>
        <color theme="0"/>
        <rFont val="Calibri"/>
        <family val="2"/>
        <scheme val="minor"/>
      </rPr>
      <t xml:space="preserve">(Explain in Notes) </t>
    </r>
  </si>
  <si>
    <t>TOTAL ALL TYPES OF MAT USED</t>
  </si>
  <si>
    <t xml:space="preserve">VETERAN </t>
  </si>
  <si>
    <t>OVERDOSE INFORMATION</t>
  </si>
  <si>
    <t>REFERRALS</t>
  </si>
  <si>
    <t xml:space="preserve">INITIAL CONTACT INFORMATION </t>
  </si>
  <si>
    <t xml:space="preserve">VETERAN INFORMATION </t>
  </si>
  <si>
    <t>Client  on MAT at time of admission (need to verify)Client  on MAT at time of admission (need to verify)</t>
  </si>
  <si>
    <t xml:space="preserve">admitted to MAT while in the QRT program </t>
  </si>
  <si>
    <t xml:space="preserve">OTHER  INFORMATION REGARDING MAT - - - - - - OTHER TREATMENT </t>
  </si>
  <si>
    <t>N/A</t>
  </si>
  <si>
    <t xml:space="preserve">PLAN DEVELOPED </t>
  </si>
  <si>
    <t xml:space="preserve">DEVELOPMENT OF OUTREACH PLAN </t>
  </si>
  <si>
    <t xml:space="preserve">FOLLOW-UP </t>
  </si>
  <si>
    <t xml:space="preserve">What Treatment Type(s) Was client engaged in after 6 months? (after initial contact) </t>
  </si>
  <si>
    <t>N/A already on MAT</t>
  </si>
  <si>
    <t xml:space="preserve">Number: </t>
  </si>
  <si>
    <t xml:space="preserve">YES </t>
  </si>
  <si>
    <t xml:space="preserve">NO </t>
  </si>
  <si>
    <t>MAT and OTHER TX (list other in Notes)</t>
  </si>
  <si>
    <t>OTHER TX (list in notes)</t>
  </si>
  <si>
    <t>Measure</t>
  </si>
  <si>
    <t xml:space="preserve">Measure </t>
  </si>
  <si>
    <t xml:space="preserve">Ethnicity </t>
  </si>
  <si>
    <t>AI</t>
  </si>
  <si>
    <t>BE</t>
  </si>
  <si>
    <t>BP</t>
  </si>
  <si>
    <t>CA</t>
  </si>
  <si>
    <t>AT</t>
  </si>
  <si>
    <t>AR</t>
  </si>
  <si>
    <t>BB</t>
  </si>
  <si>
    <t xml:space="preserve">Naloxone Distribution </t>
  </si>
  <si>
    <t>AGE</t>
  </si>
  <si>
    <t xml:space="preserve">RACE </t>
  </si>
  <si>
    <t>TRAINING</t>
  </si>
  <si>
    <t>Evidence Based</t>
  </si>
  <si>
    <t>Both Mandatory and Evidence Based Training</t>
  </si>
  <si>
    <t>Other (Specify in Notes) HAND COUNT</t>
  </si>
  <si>
    <t xml:space="preserve">ETHNICITY </t>
  </si>
  <si>
    <t># of Kits Distributed</t>
  </si>
  <si>
    <t xml:space="preserve">Episodes of When Kits Distributed </t>
  </si>
  <si>
    <t>Naloxone Kits distributed that were funded wholly or in part by SOR</t>
  </si>
  <si>
    <t xml:space="preserve">Total NON PREGANT CLIENTS AND PREGNANT CLIENTS: </t>
  </si>
  <si>
    <t xml:space="preserve">Did Individual receiving the Naloxone Kit have training prior to distribution? </t>
  </si>
  <si>
    <t>Training done to fulfill the SOW</t>
  </si>
  <si>
    <t># of Trainings</t>
  </si>
  <si>
    <r>
      <t xml:space="preserve">TRAINING FOR STAFF </t>
    </r>
    <r>
      <rPr>
        <b/>
        <u/>
        <sz val="11"/>
        <color theme="1"/>
        <rFont val="Calibri"/>
        <family val="2"/>
        <scheme val="minor"/>
      </rPr>
      <t xml:space="preserve">NOT </t>
    </r>
    <r>
      <rPr>
        <sz val="11"/>
        <color theme="1"/>
        <rFont val="Calibri"/>
        <family val="2"/>
        <scheme val="minor"/>
      </rPr>
      <t xml:space="preserve">FUNDED BY GRANT </t>
    </r>
  </si>
  <si>
    <t>Physicians</t>
  </si>
  <si>
    <t xml:space="preserve">STAFF FUNDED BY THE GRANT </t>
  </si>
  <si>
    <t>Initials</t>
  </si>
  <si>
    <t xml:space="preserve">Beginning  Date </t>
  </si>
  <si>
    <t>Employment End date</t>
  </si>
  <si>
    <t xml:space="preserve">QRT STAFF </t>
  </si>
  <si>
    <t>QRT Staff 1</t>
  </si>
  <si>
    <t>QRT Staff 2</t>
  </si>
  <si>
    <t>QRT Staff 3</t>
  </si>
  <si>
    <t>QRT Staff 4</t>
  </si>
  <si>
    <t>QRT Staff 5</t>
  </si>
  <si>
    <t>QRT Staff 6</t>
  </si>
  <si>
    <t>QRT Staff7</t>
  </si>
  <si>
    <t>QRT Staff 8</t>
  </si>
  <si>
    <t>QRT Staff 9</t>
  </si>
  <si>
    <t>Both Mandatory and Evidence Based</t>
  </si>
  <si>
    <t>QRT Staff 10</t>
  </si>
  <si>
    <t>QRT Staff 11</t>
  </si>
  <si>
    <t>QRT Staff 12</t>
  </si>
  <si>
    <t xml:space="preserve">STAFF NOT FUNDED BY GRANT </t>
  </si>
  <si>
    <t>Emergency / Medical</t>
  </si>
  <si>
    <t xml:space="preserve">Family Member </t>
  </si>
  <si>
    <t>Fire Fighter</t>
  </si>
  <si>
    <t>Nurse Practitioner</t>
  </si>
  <si>
    <t>Physician Assistant</t>
  </si>
  <si>
    <t xml:space="preserve">Other (Specify In Notes </t>
  </si>
  <si>
    <t xml:space="preserve">Training Funded wholly or in part by Grant </t>
  </si>
  <si>
    <t>Friends of Overdose Victim</t>
  </si>
  <si>
    <t xml:space="preserve">TYPE OF ACTIVITY - MEETING - EVENT </t>
  </si>
  <si>
    <t># of EVENTS</t>
  </si>
  <si>
    <t># Participants</t>
  </si>
  <si>
    <t>Activity Completed to fulfill the SOW</t>
  </si>
  <si>
    <t xml:space="preserve">CONSUMER FEEDBACK                                                                  CONSUMER FEEDBACK                                                                              CONSUMER FEEDBACK                                                                                                                   </t>
  </si>
  <si>
    <t xml:space="preserve">Type of Feedback </t>
  </si>
  <si>
    <t xml:space="preserve"># of Events </t>
  </si>
  <si>
    <t xml:space="preserve">Survey Completed for </t>
  </si>
  <si>
    <t>Information that was received</t>
  </si>
  <si>
    <t xml:space="preserve">Both Service Rendered and Information that was received </t>
  </si>
  <si>
    <t xml:space="preserve">Did the feedback indicate that the Service / Activity was accessible to individuals? </t>
  </si>
  <si>
    <t xml:space="preserve">final 2019 11 21 </t>
  </si>
  <si>
    <t>FS</t>
  </si>
  <si>
    <t xml:space="preserve">Date Ended Employment for Grant </t>
  </si>
  <si>
    <t xml:space="preserve">Date Started Employment for Grant </t>
  </si>
  <si>
    <t xml:space="preserve">Date of Consumer Feedback Activity  </t>
  </si>
  <si>
    <t>Month</t>
  </si>
  <si>
    <t>Sept</t>
  </si>
  <si>
    <t>Oct</t>
  </si>
  <si>
    <t>Nov</t>
  </si>
  <si>
    <t>Dec</t>
  </si>
  <si>
    <t>Jan</t>
  </si>
  <si>
    <t>Feb</t>
  </si>
  <si>
    <t>Mar</t>
  </si>
  <si>
    <t>May</t>
  </si>
  <si>
    <t>WV Bureau For Behavioral Health-Quick Response Team 2025</t>
  </si>
  <si>
    <t>Fiscal Grant Year 2025 - Grant Reporting Period 9/30/24 - 9/29/25</t>
  </si>
  <si>
    <t>Year</t>
  </si>
  <si>
    <t>Category</t>
  </si>
  <si>
    <t xml:space="preserve">2a) GRANTEE - PROGRAM INFORMATION: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</si>
  <si>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</si>
  <si>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</si>
  <si>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t>Contact Name(s):</t>
  </si>
  <si>
    <t>Physical Address of Program:</t>
  </si>
  <si>
    <t>Month/Year Being Reported</t>
  </si>
  <si>
    <t>Program Code:</t>
  </si>
  <si>
    <t>2b) SUPPLEMENTAL Government Performance and Results Act (GPRA) DATA/NALOXONE DISTRIBUTION</t>
  </si>
  <si>
    <t>Use the following link to report Supplemental GPRA data (Naloxone Distribution and Education):</t>
  </si>
  <si>
    <t>https://forms.gle/YLU4P4MypHLJutbRA</t>
  </si>
  <si>
    <t>2c) Monthly Tallies</t>
  </si>
  <si>
    <t>Reporting Period</t>
  </si>
  <si>
    <t>Apr</t>
  </si>
  <si>
    <t>Jun</t>
  </si>
  <si>
    <t>Jul</t>
  </si>
  <si>
    <t>Aug</t>
  </si>
  <si>
    <t>The # of unduplicated persons served by SOR QRT under the current funding period:</t>
  </si>
  <si>
    <t>The # of unduplicated persons who entered treatment after QRT intervention.</t>
  </si>
  <si>
    <t>Total # of unduplicated referrals to QRT for the month.</t>
  </si>
  <si>
    <t>Quick Response Team</t>
  </si>
  <si>
    <t>Monthly Tallies</t>
  </si>
  <si>
    <t>Number of unduplicated clients who have received Peer Recovery Support Services</t>
  </si>
  <si>
    <t>Recovery Housing</t>
  </si>
  <si>
    <t>Recovery Coaching or Peer Coaching</t>
  </si>
  <si>
    <t>Employment Support</t>
  </si>
  <si>
    <t>Multiple Recovery Support Services</t>
  </si>
  <si>
    <t>Other Recovery Support Services</t>
  </si>
  <si>
    <t>Specify Other Recovery Support Services</t>
  </si>
  <si>
    <t>September 30th, 2024</t>
  </si>
  <si>
    <t>October 2024</t>
  </si>
  <si>
    <t>November 2024</t>
  </si>
  <si>
    <t>December 2024</t>
  </si>
  <si>
    <t>January 2025</t>
  </si>
  <si>
    <t>February 2025</t>
  </si>
  <si>
    <t>March 2025</t>
  </si>
  <si>
    <t>April 2025</t>
  </si>
  <si>
    <t>May 2025</t>
  </si>
  <si>
    <t>June 2025</t>
  </si>
  <si>
    <t>July 2025</t>
  </si>
  <si>
    <t>August 2025</t>
  </si>
  <si>
    <t>September 1st-29th,  2025</t>
  </si>
  <si>
    <t xml:space="preserve">Program Name:  (same as on Statement of Work): </t>
  </si>
  <si>
    <t>Name of Program (given by Grantee):;</t>
  </si>
  <si>
    <r>
      <rPr>
        <b/>
        <sz val="12"/>
        <rFont val="Calibri"/>
        <family val="2"/>
        <scheme val="minor"/>
      </rPr>
      <t xml:space="preserve">Month Being Reported </t>
    </r>
    <r>
      <rPr>
        <sz val="12"/>
        <rFont val="Calibri"/>
        <family val="2"/>
        <scheme val="minor"/>
      </rPr>
      <t>(Month/Year):</t>
    </r>
  </si>
  <si>
    <t>September 30th 2024</t>
  </si>
  <si>
    <t>September 1-29, 2025</t>
  </si>
  <si>
    <t>1:  Grantee - Program Information ALL ENTRIES - CHANGES NEED TO BE MADE ON THIS TAB - (INFORMATION ON LINES 4 - 9 WILL POPULATE TO ALL THE OTHER TABS)</t>
  </si>
  <si>
    <t>2:  Staff Funded by the Grant</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</si>
  <si>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 behavioral health equity.</t>
  </si>
  <si>
    <r>
      <t xml:space="preserve">Program reports need to be submitted electronically, via e-mail to </t>
    </r>
    <r>
      <rPr>
        <sz val="12"/>
        <rFont val="Calibri"/>
        <family val="2"/>
        <scheme val="minor"/>
      </rPr>
      <t xml:space="preserve">BBHReporting@wv.gov </t>
    </r>
    <r>
      <rPr>
        <i/>
        <sz val="12"/>
        <rFont val="Calibri"/>
        <family val="2"/>
        <scheme val="minor"/>
      </rPr>
      <t xml:space="preserve"> within 25 calendar days of the end of each month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</si>
</sst>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b/>
      <sz val="14"/>
      <color theme="1"/>
      <name val="Calibri"/>
      <family val="2"/>
      <scheme val="minor"/>
    </font>
    <font>
      <i/>
      <sz val="12"/>
      <name val="Calibri"/>
      <family val="2"/>
      <scheme val="minor"/>
    </font>
    <font>
      <sz val="12"/>
      <name val="Calibri"/>
      <family val="2"/>
      <scheme val="minor"/>
    </font>
    <font>
      <b/>
      <sz val="11"/>
      <color rgb="FFFFDDFF"/>
      <name val="Calibri"/>
      <family val="2"/>
      <scheme val="minor"/>
    </font>
    <font>
      <sz val="11"/>
      <name val="Calibri"/>
      <family val="2"/>
      <scheme val="minor"/>
    </font>
    <font>
      <sz val="8"/>
      <name val="Calibri"/>
      <family val="2"/>
      <scheme val="minor"/>
    </font>
    <font>
      <b/>
      <sz val="11"/>
      <name val="Calibri"/>
      <family val="2"/>
      <scheme val="minor"/>
    </font>
    <font>
      <b/>
      <sz val="12"/>
      <color rgb="FFFF0000"/>
      <name val="Calibri"/>
      <family val="2"/>
      <scheme val="minor"/>
    </font>
    <font>
      <sz val="8"/>
      <color theme="1"/>
      <name val="Calibri"/>
      <family val="2"/>
      <scheme val="minor"/>
    </font>
    <font>
      <b/>
      <sz val="11"/>
      <color theme="1"/>
      <name val="Calibri"/>
      <family val="2"/>
      <scheme val="minor"/>
    </font>
    <font>
      <b/>
      <sz val="16"/>
      <color theme="1"/>
      <name val="Calibri"/>
      <family val="2"/>
      <scheme val="minor"/>
    </font>
    <font>
      <b/>
      <sz val="11"/>
      <color rgb="FF0070C0"/>
      <name val="Calibri"/>
      <family val="2"/>
      <scheme val="minor"/>
    </font>
    <font>
      <b/>
      <sz val="14"/>
      <name val="Calibri"/>
      <family val="2"/>
      <scheme val="minor"/>
    </font>
    <font>
      <sz val="11"/>
      <color theme="0"/>
      <name val="Calibri"/>
      <family val="2"/>
      <scheme val="minor"/>
    </font>
    <font>
      <sz val="8"/>
      <color rgb="FF0070C0"/>
      <name val="Calibri"/>
      <family val="2"/>
      <scheme val="minor"/>
    </font>
    <font>
      <b/>
      <sz val="8"/>
      <color theme="1"/>
      <name val="Calibri"/>
      <family val="2"/>
      <scheme val="minor"/>
    </font>
    <font>
      <sz val="7"/>
      <color theme="1"/>
      <name val="Calibri"/>
      <family val="2"/>
      <scheme val="minor"/>
    </font>
    <font>
      <sz val="7"/>
      <color rgb="FF0070C0"/>
      <name val="Calibri"/>
      <family val="2"/>
      <scheme val="minor"/>
    </font>
    <font>
      <b/>
      <sz val="7"/>
      <color theme="1"/>
      <name val="Calibri"/>
      <family val="2"/>
      <scheme val="minor"/>
    </font>
    <font>
      <sz val="12"/>
      <color theme="1"/>
      <name val="Calibri"/>
      <family val="2"/>
      <scheme val="minor"/>
    </font>
    <font>
      <b/>
      <sz val="20"/>
      <color theme="0"/>
      <name val="Calibri"/>
      <family val="2"/>
      <scheme val="minor"/>
    </font>
    <font>
      <b/>
      <sz val="12"/>
      <color theme="1"/>
      <name val="Calibri"/>
      <family val="2"/>
      <scheme val="minor"/>
    </font>
    <font>
      <sz val="10"/>
      <color theme="1"/>
      <name val="Calibri"/>
      <family val="2"/>
      <scheme val="minor"/>
    </font>
    <font>
      <b/>
      <sz val="11"/>
      <color theme="0"/>
      <name val="Calibri"/>
      <family val="2"/>
      <scheme val="minor"/>
    </font>
    <font>
      <b/>
      <sz val="14"/>
      <color theme="0"/>
      <name val="Calibri"/>
      <family val="2"/>
      <scheme val="minor"/>
    </font>
    <font>
      <b/>
      <sz val="12"/>
      <name val="Calibri"/>
      <family val="2"/>
      <scheme val="minor"/>
    </font>
    <font>
      <b/>
      <sz val="10"/>
      <color theme="1"/>
      <name val="Calibri"/>
      <family val="2"/>
      <scheme val="minor"/>
    </font>
    <font>
      <b/>
      <sz val="9"/>
      <name val="Calibri"/>
      <family val="2"/>
      <scheme val="minor"/>
    </font>
    <font>
      <b/>
      <sz val="8"/>
      <name val="Calibri"/>
      <family val="2"/>
      <scheme val="minor"/>
    </font>
    <font>
      <sz val="8"/>
      <color theme="5" tint="-0.499984740745262"/>
      <name val="Calibri"/>
      <family val="2"/>
      <scheme val="minor"/>
    </font>
    <font>
      <sz val="9"/>
      <color theme="1"/>
      <name val="Calibri"/>
      <family val="2"/>
      <scheme val="minor"/>
    </font>
    <font>
      <sz val="11"/>
      <color theme="5" tint="-0.499984740745262"/>
      <name val="Calibri"/>
      <family val="2"/>
      <scheme val="minor"/>
    </font>
    <font>
      <sz val="10"/>
      <color theme="5" tint="-0.499984740745262"/>
      <name val="Calibri"/>
      <family val="2"/>
      <scheme val="minor"/>
    </font>
    <font>
      <b/>
      <sz val="10"/>
      <color theme="0"/>
      <name val="Calibri"/>
      <family val="2"/>
      <scheme val="minor"/>
    </font>
    <font>
      <sz val="11"/>
      <color rgb="FFFF0000"/>
      <name val="Calibri"/>
      <family val="2"/>
      <scheme val="minor"/>
    </font>
    <font>
      <b/>
      <sz val="11"/>
      <color rgb="FF00518E"/>
      <name val="Calibri"/>
      <family val="2"/>
      <scheme val="minor"/>
    </font>
    <font>
      <sz val="8"/>
      <color theme="0"/>
      <name val="Calibri"/>
      <family val="2"/>
      <scheme val="minor"/>
    </font>
    <font>
      <b/>
      <sz val="14"/>
      <color rgb="FFFF0000"/>
      <name val="Calibri"/>
      <family val="2"/>
      <scheme val="minor"/>
    </font>
    <font>
      <b/>
      <sz val="16"/>
      <color rgb="FFFF0000"/>
      <name val="Calibri"/>
      <family val="2"/>
      <scheme val="minor"/>
    </font>
    <font>
      <b/>
      <sz val="10"/>
      <color rgb="FFFF0000"/>
      <name val="Calibri"/>
      <family val="2"/>
      <scheme val="minor"/>
    </font>
    <font>
      <b/>
      <sz val="16"/>
      <color theme="0"/>
      <name val="Calibri"/>
      <family val="2"/>
      <scheme val="minor"/>
    </font>
    <font>
      <sz val="14"/>
      <color theme="1"/>
      <name val="Calibri"/>
      <family val="2"/>
      <scheme val="minor"/>
    </font>
    <font>
      <i/>
      <sz val="8"/>
      <color theme="1"/>
      <name val="Calibri"/>
      <family val="2"/>
      <scheme val="minor"/>
    </font>
    <font>
      <i/>
      <sz val="11"/>
      <color theme="1"/>
      <name val="Calibri"/>
      <family val="2"/>
      <scheme val="minor"/>
    </font>
    <font>
      <b/>
      <i/>
      <sz val="9"/>
      <name val="Calibri"/>
      <family val="2"/>
      <scheme val="minor"/>
    </font>
    <font>
      <i/>
      <sz val="9"/>
      <color theme="1"/>
      <name val="Calibri"/>
      <family val="2"/>
      <scheme val="minor"/>
    </font>
    <font>
      <b/>
      <u/>
      <sz val="11"/>
      <color theme="1"/>
      <name val="Calibri"/>
      <family val="2"/>
      <scheme val="minor"/>
    </font>
    <font>
      <b/>
      <sz val="10"/>
      <name val="Calibri"/>
      <family val="2"/>
      <scheme val="minor"/>
    </font>
    <font>
      <sz val="14"/>
      <color theme="0" tint="-4.9989318521683403E-2"/>
      <name val="Calibri"/>
      <family val="2"/>
      <scheme val="minor"/>
    </font>
    <font>
      <sz val="11"/>
      <color theme="1"/>
      <name val="Calibri"/>
      <family val="2"/>
      <scheme val="minor"/>
    </font>
    <font>
      <sz val="11"/>
      <color theme="1"/>
      <name val="Calibri"/>
      <family val="2"/>
    </font>
    <font>
      <u/>
      <sz val="11"/>
      <color theme="10"/>
      <name val="Calibri"/>
      <family val="2"/>
      <scheme val="minor"/>
    </font>
    <font>
      <b/>
      <sz val="12"/>
      <color theme="1"/>
      <name val="Calibri"/>
      <family val="2"/>
    </font>
    <font>
      <b/>
      <sz val="11"/>
      <color theme="1"/>
      <name val="Calibri"/>
      <family val="2"/>
    </font>
    <font>
      <sz val="8"/>
      <color theme="1"/>
      <name val="Calibri"/>
      <family val="2"/>
    </font>
    <font>
      <sz val="10"/>
      <color theme="1"/>
      <name val="Calibri"/>
      <family val="2"/>
    </font>
    <font>
      <b/>
      <sz val="14"/>
      <color theme="0"/>
      <name val="Calibri"/>
      <family val="2"/>
    </font>
    <font>
      <b/>
      <sz val="11"/>
      <color rgb="FFFF0000"/>
      <name val="Calibri"/>
      <family val="2"/>
    </font>
    <font>
      <u/>
      <sz val="14"/>
      <color theme="0"/>
      <name val="Calibri"/>
      <family val="2"/>
      <scheme val="minor"/>
    </font>
    <font>
      <b/>
      <sz val="12"/>
      <color theme="0"/>
      <name val="Calibri"/>
      <family val="2"/>
      <scheme val="minor"/>
    </font>
  </fonts>
  <fills count="53">
    <fill>
      <patternFill patternType="none"/>
    </fill>
    <fill>
      <patternFill patternType="gray125"/>
    </fill>
    <fill>
      <patternFill patternType="solid">
        <fgColor theme="8" tint="0.59999389629810485"/>
        <bgColor indexed="64"/>
      </patternFill>
    </fill>
    <fill>
      <patternFill patternType="solid">
        <fgColor rgb="FF002060"/>
        <bgColor indexed="64"/>
      </patternFill>
    </fill>
    <fill>
      <patternFill patternType="solid">
        <fgColor theme="1"/>
        <bgColor indexed="64"/>
      </patternFill>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39997558519241921"/>
        <bgColor indexed="64"/>
      </patternFill>
    </fill>
    <fill>
      <gradientFill degree="135">
        <stop position="0">
          <color theme="0"/>
        </stop>
        <stop position="1">
          <color theme="4"/>
        </stop>
      </gradientFill>
    </fill>
    <fill>
      <gradientFill degree="90">
        <stop position="0">
          <color theme="0"/>
        </stop>
        <stop position="1">
          <color theme="6" tint="-0.25098422193060094"/>
        </stop>
      </gradientFill>
    </fill>
    <fill>
      <gradientFill type="path">
        <stop position="0">
          <color theme="0"/>
        </stop>
        <stop position="1">
          <color theme="6" tint="-0.25098422193060094"/>
        </stop>
      </gradientFill>
    </fill>
    <fill>
      <patternFill patternType="solid">
        <fgColor theme="8" tint="-0.249977111117893"/>
        <bgColor indexed="64"/>
      </patternFill>
    </fill>
    <fill>
      <patternFill patternType="solid">
        <fgColor rgb="FF0070C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39994506668294322"/>
        <bgColor indexed="64"/>
      </patternFill>
    </fill>
    <fill>
      <patternFill patternType="solid">
        <fgColor indexed="65"/>
        <bgColor indexed="64"/>
      </patternFill>
    </fill>
    <fill>
      <patternFill patternType="solid">
        <fgColor theme="5" tint="-0.249977111117893"/>
        <bgColor indexed="64"/>
      </patternFill>
    </fill>
    <fill>
      <patternFill patternType="solid">
        <fgColor rgb="FFFFE1FE"/>
        <bgColor indexed="64"/>
      </patternFill>
    </fill>
    <fill>
      <patternFill patternType="solid">
        <fgColor theme="9" tint="0.59999389629810485"/>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AFFD"/>
        <bgColor indexed="64"/>
      </patternFill>
    </fill>
    <fill>
      <patternFill patternType="solid">
        <fgColor theme="0" tint="-0.34998626667073579"/>
        <bgColor indexed="64"/>
      </patternFill>
    </fill>
    <fill>
      <patternFill patternType="solid">
        <fgColor theme="1"/>
        <bgColor auto="1"/>
      </patternFill>
    </fill>
    <fill>
      <patternFill patternType="solid">
        <fgColor theme="9" tint="-0.49998474074526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2" tint="-0.749992370372631"/>
        <bgColor indexed="64"/>
      </patternFill>
    </fill>
    <fill>
      <patternFill patternType="solid">
        <fgColor rgb="FFFFD1F0"/>
        <bgColor indexed="64"/>
      </patternFill>
    </fill>
    <fill>
      <patternFill patternType="solid">
        <fgColor theme="4"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D965"/>
        <bgColor rgb="FFFFD965"/>
      </patternFill>
    </fill>
    <fill>
      <patternFill patternType="solid">
        <fgColor rgb="FFFEF2CB"/>
        <bgColor rgb="FFFEF2CB"/>
      </patternFill>
    </fill>
    <fill>
      <patternFill patternType="solid">
        <fgColor theme="8" tint="-0.499984740745262"/>
        <bgColor indexed="64"/>
      </patternFill>
    </fill>
    <fill>
      <patternFill patternType="solid">
        <fgColor rgb="FF483500"/>
        <bgColor rgb="FF483500"/>
      </patternFill>
    </fill>
    <fill>
      <patternFill patternType="solid">
        <fgColor rgb="FFFFFF85"/>
        <bgColor rgb="FFFFFF85"/>
      </patternFill>
    </fill>
    <fill>
      <patternFill patternType="solid">
        <fgColor rgb="FF9933FF"/>
        <bgColor rgb="FF483500"/>
      </patternFill>
    </fill>
    <fill>
      <patternFill patternType="solid">
        <fgColor rgb="FF483500"/>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4" tint="0.79998168889431442"/>
        <bgColor indexed="64"/>
      </patternFill>
    </fill>
  </fills>
  <borders count="5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medium">
        <color indexed="64"/>
      </bottom>
      <diagonal/>
    </border>
    <border>
      <left style="thick">
        <color rgb="FF000000"/>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ck">
        <color rgb="FF000000"/>
      </left>
      <right/>
      <top style="thin">
        <color indexed="64"/>
      </top>
      <bottom style="thin">
        <color auto="1"/>
      </bottom>
      <diagonal/>
    </border>
    <border>
      <left style="thin">
        <color rgb="FF000000"/>
      </left>
      <right style="thick">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ck">
        <color rgb="FF000000"/>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auto="1"/>
      </left>
      <right/>
      <top style="thin">
        <color auto="1"/>
      </top>
      <bottom style="thin">
        <color auto="1"/>
      </bottom>
      <diagonal/>
    </border>
  </borders>
  <cellStyleXfs count="7">
    <xf numFmtId="0" fontId="0" fillId="0" borderId="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2" fillId="0" borderId="0" applyNumberFormat="0" applyFill="0" applyBorder="0" applyAlignment="0" applyProtection="0"/>
    <xf numFmtId="0" fontId="50" fillId="0" borderId="0"/>
  </cellStyleXfs>
  <cellXfs count="583">
    <xf numFmtId="0" fontId="0" fillId="0" borderId="0" xfId="0"/>
    <xf numFmtId="0" fontId="0" fillId="4" borderId="1" xfId="0" applyFill="1" applyBorder="1"/>
    <xf numFmtId="0" fontId="0" fillId="4" borderId="2" xfId="0" applyFill="1" applyBorder="1"/>
    <xf numFmtId="0" fontId="9" fillId="0" borderId="0" xfId="0" applyFont="1"/>
    <xf numFmtId="0" fontId="0" fillId="6" borderId="0" xfId="0" applyFill="1"/>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9" fillId="6" borderId="0" xfId="0" applyFont="1" applyFill="1"/>
    <xf numFmtId="0" fontId="17" fillId="4" borderId="2" xfId="0" applyFont="1" applyFill="1" applyBorder="1"/>
    <xf numFmtId="0" fontId="15" fillId="0" borderId="0" xfId="0" applyFont="1"/>
    <xf numFmtId="0" fontId="20" fillId="6" borderId="0" xfId="0" applyFont="1" applyFill="1"/>
    <xf numFmtId="0" fontId="15" fillId="2" borderId="0" xfId="0" applyFont="1" applyFill="1"/>
    <xf numFmtId="0" fontId="9" fillId="2" borderId="0" xfId="0" applyFont="1" applyFill="1"/>
    <xf numFmtId="0" fontId="0" fillId="2" borderId="0" xfId="0" applyFill="1"/>
    <xf numFmtId="0" fontId="4" fillId="3" borderId="0" xfId="0" applyFont="1" applyFill="1" applyAlignment="1">
      <alignment vertical="center" wrapText="1"/>
    </xf>
    <xf numFmtId="0" fontId="0" fillId="4" borderId="0" xfId="0" applyFill="1"/>
    <xf numFmtId="0" fontId="0" fillId="3" borderId="0" xfId="0" applyFill="1"/>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0" fillId="0" borderId="2" xfId="0" applyBorder="1"/>
    <xf numFmtId="0" fontId="9" fillId="0" borderId="2" xfId="0" applyFont="1" applyBorder="1" applyAlignment="1">
      <alignment horizontal="center" vertical="center"/>
    </xf>
    <xf numFmtId="0" fontId="9" fillId="0" borderId="2" xfId="0" applyFont="1" applyBorder="1" applyAlignment="1">
      <alignment vertical="center"/>
    </xf>
    <xf numFmtId="0" fontId="0" fillId="10" borderId="0" xfId="0" applyFill="1"/>
    <xf numFmtId="0" fontId="30" fillId="0" borderId="0" xfId="0" applyFont="1" applyAlignment="1" applyProtection="1">
      <alignment vertical="center" wrapText="1"/>
      <protection locked="0"/>
    </xf>
    <xf numFmtId="0" fontId="0" fillId="4" borderId="9" xfId="0" applyFill="1" applyBorder="1"/>
    <xf numFmtId="0" fontId="0" fillId="4" borderId="11" xfId="0" applyFill="1" applyBorder="1"/>
    <xf numFmtId="0" fontId="0" fillId="4" borderId="10" xfId="0" applyFill="1" applyBorder="1"/>
    <xf numFmtId="0" fontId="0" fillId="4" borderId="2" xfId="0" applyFill="1" applyBorder="1" applyAlignment="1">
      <alignment horizontal="center" vertical="center"/>
    </xf>
    <xf numFmtId="0" fontId="1" fillId="3" borderId="0" xfId="0" applyFont="1" applyFill="1" applyAlignment="1">
      <alignment horizontal="right"/>
    </xf>
    <xf numFmtId="0" fontId="1" fillId="3" borderId="0" xfId="0" applyFont="1" applyFill="1" applyAlignment="1">
      <alignment horizontal="center" vertical="center"/>
    </xf>
    <xf numFmtId="0" fontId="0" fillId="4" borderId="0" xfId="0"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center" vertical="center"/>
    </xf>
    <xf numFmtId="0" fontId="0" fillId="23" borderId="0" xfId="0" applyFill="1"/>
    <xf numFmtId="0" fontId="24" fillId="0" borderId="0" xfId="0" applyFont="1" applyAlignment="1">
      <alignment vertical="justify" wrapText="1"/>
    </xf>
    <xf numFmtId="0" fontId="14" fillId="0" borderId="0" xfId="0" applyFont="1" applyAlignment="1">
      <alignment horizontal="center" vertical="center"/>
    </xf>
    <xf numFmtId="0" fontId="14" fillId="0" borderId="0" xfId="0" applyFont="1" applyAlignment="1">
      <alignment vertical="center" wrapText="1"/>
    </xf>
    <xf numFmtId="0" fontId="11" fillId="0" borderId="11"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25" fillId="0" borderId="0" xfId="0" applyFont="1" applyAlignment="1">
      <alignment horizontal="center"/>
    </xf>
    <xf numFmtId="0" fontId="27"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5" fillId="0" borderId="0" xfId="0" applyFont="1" applyAlignment="1">
      <alignment vertical="center" wrapText="1"/>
    </xf>
    <xf numFmtId="0" fontId="22" fillId="4" borderId="2" xfId="0" applyFont="1" applyFill="1" applyBorder="1" applyAlignment="1">
      <alignment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5" fillId="4" borderId="10" xfId="0" applyFont="1" applyFill="1" applyBorder="1" applyAlignment="1">
      <alignment horizontal="center"/>
    </xf>
    <xf numFmtId="0" fontId="27" fillId="4" borderId="10" xfId="0"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xf numFmtId="0" fontId="10" fillId="4" borderId="15" xfId="0" applyFont="1" applyFill="1" applyBorder="1" applyAlignment="1">
      <alignment horizontal="center" vertical="center"/>
    </xf>
    <xf numFmtId="0" fontId="0" fillId="4" borderId="1" xfId="0" applyFill="1" applyBorder="1" applyAlignment="1">
      <alignment horizontal="center" vertical="center"/>
    </xf>
    <xf numFmtId="0" fontId="0" fillId="20" borderId="0" xfId="0" applyFill="1"/>
    <xf numFmtId="0" fontId="0" fillId="37" borderId="0" xfId="0" applyFill="1"/>
    <xf numFmtId="0" fontId="60" fillId="44" borderId="34" xfId="4" applyFont="1" applyFill="1" applyBorder="1" applyAlignment="1" applyProtection="1">
      <alignment horizontal="center" vertical="center" wrapText="1"/>
    </xf>
    <xf numFmtId="1" fontId="50" fillId="0" borderId="2" xfId="4" applyNumberFormat="1" applyFill="1" applyBorder="1" applyAlignment="1" applyProtection="1">
      <alignment horizontal="center" vertical="center" wrapText="1"/>
      <protection locked="0"/>
    </xf>
    <xf numFmtId="0" fontId="24" fillId="44" borderId="26" xfId="1" applyFont="1" applyFill="1" applyBorder="1" applyAlignment="1" applyProtection="1">
      <alignment horizontal="center" vertical="center"/>
    </xf>
    <xf numFmtId="0" fontId="24" fillId="44" borderId="37" xfId="1" applyFont="1" applyFill="1" applyBorder="1" applyAlignment="1" applyProtection="1">
      <alignment horizontal="center" vertical="center" wrapText="1"/>
    </xf>
    <xf numFmtId="1" fontId="50" fillId="0" borderId="45" xfId="4" applyNumberFormat="1" applyFill="1" applyBorder="1" applyAlignment="1" applyProtection="1">
      <alignment horizontal="center" vertical="center" wrapText="1"/>
      <protection locked="0"/>
    </xf>
    <xf numFmtId="0" fontId="60" fillId="44" borderId="33" xfId="4" applyFont="1" applyFill="1" applyBorder="1" applyAlignment="1" applyProtection="1">
      <alignment horizontal="center" vertical="center"/>
    </xf>
    <xf numFmtId="1" fontId="50" fillId="0" borderId="45" xfId="4" applyNumberFormat="1" applyFill="1" applyBorder="1" applyAlignment="1" applyProtection="1">
      <alignment horizontal="center" vertical="center" wrapText="1"/>
    </xf>
    <xf numFmtId="1" fontId="50" fillId="0" borderId="2" xfId="4" applyNumberFormat="1" applyFill="1" applyBorder="1" applyAlignment="1" applyProtection="1">
      <alignment horizontal="center" vertical="center" wrapText="1"/>
    </xf>
    <xf numFmtId="0" fontId="60" fillId="44" borderId="47" xfId="4" applyFont="1" applyFill="1" applyBorder="1" applyAlignment="1" applyProtection="1">
      <alignment horizontal="center" vertical="center"/>
    </xf>
    <xf numFmtId="0" fontId="60" fillId="44" borderId="48" xfId="4" applyFont="1" applyFill="1" applyBorder="1" applyAlignment="1" applyProtection="1">
      <alignment horizontal="center" vertical="center" wrapText="1"/>
    </xf>
    <xf numFmtId="14" fontId="50" fillId="44" borderId="21" xfId="3" applyNumberFormat="1" applyFill="1" applyBorder="1" applyAlignment="1" applyProtection="1">
      <alignment horizontal="center" vertical="center" wrapText="1"/>
    </xf>
    <xf numFmtId="0" fontId="50" fillId="44" borderId="26" xfId="1" applyFill="1" applyBorder="1" applyAlignment="1" applyProtection="1">
      <alignment horizontal="center" vertical="center"/>
    </xf>
    <xf numFmtId="0" fontId="50" fillId="44" borderId="27" xfId="1" applyFill="1" applyBorder="1" applyAlignment="1" applyProtection="1">
      <alignment horizontal="center" vertical="center"/>
    </xf>
    <xf numFmtId="0" fontId="25" fillId="48" borderId="0" xfId="6" applyFont="1" applyFill="1" applyAlignment="1">
      <alignment horizontal="left" vertical="center"/>
    </xf>
    <xf numFmtId="0" fontId="50" fillId="0" borderId="0" xfId="6"/>
    <xf numFmtId="0" fontId="7" fillId="49" borderId="9" xfId="6" applyFont="1" applyFill="1" applyBorder="1" applyAlignment="1">
      <alignment horizontal="center" vertical="center" wrapText="1"/>
    </xf>
    <xf numFmtId="0" fontId="7" fillId="51" borderId="11" xfId="6" applyFont="1" applyFill="1" applyBorder="1" applyAlignment="1">
      <alignment horizontal="center" vertical="center" wrapText="1"/>
    </xf>
    <xf numFmtId="0" fontId="7" fillId="0" borderId="2" xfId="6" applyFont="1" applyBorder="1" applyAlignment="1">
      <alignment horizontal="left" vertical="center" wrapText="1"/>
    </xf>
    <xf numFmtId="0" fontId="10" fillId="0" borderId="2" xfId="6" applyFont="1" applyBorder="1" applyAlignment="1">
      <alignment horizontal="left" vertical="center" wrapText="1"/>
    </xf>
    <xf numFmtId="49" fontId="7" fillId="52" borderId="49" xfId="6" applyNumberFormat="1" applyFont="1" applyFill="1" applyBorder="1" applyAlignment="1">
      <alignment horizontal="center" vertical="center" wrapText="1"/>
    </xf>
    <xf numFmtId="14" fontId="12" fillId="52" borderId="2" xfId="6" applyNumberFormat="1" applyFont="1" applyFill="1" applyBorder="1" applyAlignment="1" applyProtection="1">
      <alignment horizontal="center" vertical="center" wrapText="1"/>
      <protection locked="0"/>
    </xf>
    <xf numFmtId="0" fontId="50" fillId="52" borderId="2" xfId="6" applyFill="1" applyBorder="1" applyProtection="1">
      <protection locked="0"/>
    </xf>
    <xf numFmtId="0" fontId="58" fillId="46" borderId="3" xfId="0" applyFont="1" applyFill="1" applyBorder="1" applyAlignment="1">
      <alignment horizontal="center" vertical="center"/>
    </xf>
    <xf numFmtId="49" fontId="10" fillId="10" borderId="9" xfId="0" applyNumberFormat="1" applyFont="1" applyFill="1" applyBorder="1" applyAlignment="1">
      <alignment horizontal="center" vertical="center"/>
    </xf>
    <xf numFmtId="49" fontId="10" fillId="10" borderId="10" xfId="0" applyNumberFormat="1" applyFont="1" applyFill="1" applyBorder="1" applyAlignment="1">
      <alignment horizontal="center" vertical="center"/>
    </xf>
    <xf numFmtId="0" fontId="7" fillId="14" borderId="3"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5" xfId="0" applyFont="1" applyFill="1" applyBorder="1" applyAlignment="1">
      <alignment horizontal="left" vertical="center" wrapText="1"/>
    </xf>
    <xf numFmtId="0" fontId="16" fillId="2" borderId="13"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20" fillId="2" borderId="2" xfId="0" applyFont="1" applyFill="1" applyBorder="1"/>
    <xf numFmtId="0" fontId="20" fillId="0" borderId="2" xfId="0" applyFont="1" applyBorder="1" applyProtection="1">
      <protection locked="0"/>
    </xf>
    <xf numFmtId="0" fontId="8" fillId="5" borderId="2" xfId="0" applyFont="1" applyFill="1" applyBorder="1" applyAlignment="1" applyProtection="1">
      <alignment horizontal="center" vertical="center" wrapText="1"/>
      <protection locked="0"/>
    </xf>
    <xf numFmtId="0" fontId="20" fillId="2" borderId="2" xfId="0" applyFont="1" applyFill="1" applyBorder="1" applyAlignment="1">
      <alignment horizontal="left"/>
    </xf>
    <xf numFmtId="49" fontId="20" fillId="0" borderId="2" xfId="0" applyNumberFormat="1" applyFont="1" applyBorder="1" applyAlignment="1" applyProtection="1">
      <alignment horizontal="left"/>
      <protection locked="0"/>
    </xf>
    <xf numFmtId="0" fontId="3" fillId="2" borderId="9"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10" fillId="10" borderId="9"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24" fillId="14" borderId="9" xfId="0" applyFont="1" applyFill="1" applyBorder="1" applyAlignment="1">
      <alignment horizontal="center" vertical="center"/>
    </xf>
    <xf numFmtId="0" fontId="24" fillId="14" borderId="10" xfId="0" applyFont="1" applyFill="1" applyBorder="1" applyAlignment="1">
      <alignment horizontal="center" vertical="center"/>
    </xf>
    <xf numFmtId="0" fontId="25" fillId="3" borderId="12" xfId="0" applyFont="1" applyFill="1" applyBorder="1" applyAlignment="1">
      <alignment vertical="center" wrapText="1"/>
    </xf>
    <xf numFmtId="0" fontId="25" fillId="3" borderId="0" xfId="0" applyFont="1" applyFill="1" applyAlignment="1">
      <alignment vertical="center" wrapText="1"/>
    </xf>
    <xf numFmtId="0" fontId="8" fillId="14" borderId="9"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5" fillId="2" borderId="2" xfId="0" applyFont="1" applyFill="1" applyBorder="1" applyAlignment="1">
      <alignment vertical="center" wrapText="1"/>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9" xfId="0" applyFont="1" applyFill="1" applyBorder="1"/>
    <xf numFmtId="0" fontId="3" fillId="2" borderId="11" xfId="0" applyFont="1" applyFill="1" applyBorder="1"/>
    <xf numFmtId="0" fontId="3" fillId="2" borderId="10" xfId="0" applyFont="1" applyFill="1" applyBorder="1"/>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20" fillId="0" borderId="1" xfId="0" applyFont="1" applyBorder="1" applyProtection="1">
      <protection locked="0"/>
    </xf>
    <xf numFmtId="0" fontId="20" fillId="2" borderId="1" xfId="0" applyFont="1" applyFill="1" applyBorder="1"/>
    <xf numFmtId="0" fontId="20" fillId="2" borderId="2" xfId="0" applyFont="1" applyFill="1" applyBorder="1" applyAlignment="1">
      <alignment horizontal="left" vertical="top"/>
    </xf>
    <xf numFmtId="0" fontId="20" fillId="0" borderId="2" xfId="0" applyFont="1" applyBorder="1" applyAlignment="1" applyProtection="1">
      <alignment horizontal="left" vertical="top"/>
      <protection locked="0"/>
    </xf>
    <xf numFmtId="0" fontId="20" fillId="0" borderId="2" xfId="0" applyFont="1" applyBorder="1" applyAlignment="1" applyProtection="1">
      <alignment vertical="center" wrapText="1"/>
      <protection locked="0"/>
    </xf>
    <xf numFmtId="0" fontId="22" fillId="2" borderId="0" xfId="0" applyFont="1" applyFill="1" applyAlignment="1">
      <alignment horizontal="center" vertical="center"/>
    </xf>
    <xf numFmtId="14" fontId="5" fillId="0" borderId="2" xfId="0" applyNumberFormat="1" applyFont="1" applyBorder="1" applyAlignment="1" applyProtection="1">
      <alignment vertical="center" wrapText="1"/>
      <protection locked="0"/>
    </xf>
    <xf numFmtId="0" fontId="8" fillId="10" borderId="9" xfId="0" applyFont="1" applyFill="1" applyBorder="1" applyAlignment="1" applyProtection="1">
      <alignment horizontal="center" vertical="center" wrapText="1"/>
      <protection locked="0"/>
    </xf>
    <xf numFmtId="0" fontId="8" fillId="10" borderId="10" xfId="0" applyFont="1" applyFill="1" applyBorder="1" applyAlignment="1" applyProtection="1">
      <alignment horizontal="center" vertical="center" wrapText="1"/>
      <protection locked="0"/>
    </xf>
    <xf numFmtId="14" fontId="5" fillId="19" borderId="2" xfId="0" applyNumberFormat="1" applyFont="1" applyFill="1" applyBorder="1" applyAlignment="1" applyProtection="1">
      <alignment vertical="center" wrapText="1"/>
      <protection locked="0"/>
    </xf>
    <xf numFmtId="0" fontId="8" fillId="18" borderId="9" xfId="0" applyFont="1" applyFill="1" applyBorder="1" applyAlignment="1" applyProtection="1">
      <alignment horizontal="center" vertical="center" wrapText="1"/>
      <protection locked="0"/>
    </xf>
    <xf numFmtId="0" fontId="8" fillId="18" borderId="10" xfId="0" applyFont="1" applyFill="1" applyBorder="1" applyAlignment="1" applyProtection="1">
      <alignment horizontal="center" vertical="center" wrapText="1"/>
      <protection locked="0"/>
    </xf>
    <xf numFmtId="14" fontId="5" fillId="0" borderId="9" xfId="0" applyNumberFormat="1" applyFont="1" applyBorder="1" applyAlignment="1" applyProtection="1">
      <alignment vertical="center" wrapText="1"/>
      <protection locked="0"/>
    </xf>
    <xf numFmtId="14" fontId="5" fillId="0" borderId="11" xfId="0" applyNumberFormat="1" applyFont="1" applyBorder="1" applyAlignment="1" applyProtection="1">
      <alignment vertical="center" wrapText="1"/>
      <protection locked="0"/>
    </xf>
    <xf numFmtId="14" fontId="5" fillId="0" borderId="10" xfId="0" applyNumberFormat="1" applyFont="1" applyBorder="1" applyAlignment="1" applyProtection="1">
      <alignment vertical="center" wrapText="1"/>
      <protection locked="0"/>
    </xf>
    <xf numFmtId="0" fontId="5" fillId="18" borderId="9" xfId="0" applyFont="1" applyFill="1" applyBorder="1" applyAlignment="1" applyProtection="1">
      <alignment vertical="center"/>
      <protection locked="0"/>
    </xf>
    <xf numFmtId="0" fontId="5" fillId="18" borderId="11" xfId="0" applyFont="1" applyFill="1" applyBorder="1" applyAlignment="1" applyProtection="1">
      <alignment vertical="center"/>
      <protection locked="0"/>
    </xf>
    <xf numFmtId="0" fontId="5" fillId="18" borderId="10" xfId="0" applyFont="1" applyFill="1" applyBorder="1" applyAlignment="1" applyProtection="1">
      <alignment vertical="center"/>
      <protection locked="0"/>
    </xf>
    <xf numFmtId="0" fontId="16" fillId="2" borderId="6"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5" fillId="2" borderId="9" xfId="0" applyFont="1" applyFill="1" applyBorder="1" applyAlignment="1">
      <alignment vertical="center" wrapText="1"/>
    </xf>
    <xf numFmtId="0" fontId="5" fillId="2" borderId="11" xfId="0" applyFont="1" applyFill="1" applyBorder="1" applyAlignment="1">
      <alignment vertical="center" wrapText="1"/>
    </xf>
    <xf numFmtId="0" fontId="5" fillId="2" borderId="10" xfId="0" applyFont="1" applyFill="1" applyBorder="1" applyAlignment="1">
      <alignment vertical="center" wrapText="1"/>
    </xf>
    <xf numFmtId="0" fontId="5" fillId="14" borderId="13" xfId="0" applyFont="1" applyFill="1" applyBorder="1" applyAlignment="1">
      <alignment horizontal="center" vertical="center"/>
    </xf>
    <xf numFmtId="0" fontId="5" fillId="14" borderId="0" xfId="0" applyFont="1" applyFill="1" applyAlignment="1">
      <alignment horizontal="center" vertical="center"/>
    </xf>
    <xf numFmtId="0" fontId="5" fillId="10" borderId="9" xfId="0" applyFont="1" applyFill="1" applyBorder="1" applyAlignment="1" applyProtection="1">
      <alignment vertical="center"/>
      <protection locked="0"/>
    </xf>
    <xf numFmtId="0" fontId="5" fillId="10" borderId="11" xfId="0" applyFont="1" applyFill="1" applyBorder="1" applyAlignment="1" applyProtection="1">
      <alignment vertical="center"/>
      <protection locked="0"/>
    </xf>
    <xf numFmtId="0" fontId="5" fillId="10" borderId="10" xfId="0" applyFont="1" applyFill="1" applyBorder="1" applyAlignment="1" applyProtection="1">
      <alignment vertical="center"/>
      <protection locked="0"/>
    </xf>
    <xf numFmtId="0" fontId="5" fillId="14" borderId="9" xfId="0" applyFont="1" applyFill="1" applyBorder="1" applyAlignment="1">
      <alignment horizontal="center" vertical="center"/>
    </xf>
    <xf numFmtId="0" fontId="5" fillId="14" borderId="11" xfId="0" applyFont="1" applyFill="1" applyBorder="1" applyAlignment="1">
      <alignment horizontal="center" vertical="center"/>
    </xf>
    <xf numFmtId="0" fontId="5" fillId="14" borderId="10" xfId="0" applyFont="1" applyFill="1" applyBorder="1" applyAlignment="1">
      <alignment horizontal="center" vertical="center"/>
    </xf>
    <xf numFmtId="0" fontId="10" fillId="41" borderId="43" xfId="4" applyFont="1" applyBorder="1" applyAlignment="1" applyProtection="1">
      <alignment horizontal="center" vertical="center"/>
    </xf>
    <xf numFmtId="0" fontId="10" fillId="41" borderId="38" xfId="4" applyFont="1" applyBorder="1" applyAlignment="1" applyProtection="1">
      <alignment horizontal="center" vertical="center"/>
    </xf>
    <xf numFmtId="0" fontId="10" fillId="41" borderId="44" xfId="4" applyFont="1" applyBorder="1" applyAlignment="1" applyProtection="1">
      <alignment horizontal="center" vertical="center" wrapText="1"/>
    </xf>
    <xf numFmtId="0" fontId="10" fillId="41" borderId="32" xfId="4" applyFont="1" applyBorder="1" applyAlignment="1" applyProtection="1">
      <alignment horizontal="center"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36" xfId="0" applyFont="1" applyBorder="1" applyAlignment="1">
      <alignment horizontal="left" vertical="center" wrapText="1"/>
    </xf>
    <xf numFmtId="14" fontId="10" fillId="0" borderId="31" xfId="3" applyNumberFormat="1" applyFont="1" applyFill="1" applyBorder="1" applyAlignment="1" applyProtection="1">
      <alignment horizontal="left" vertical="center" wrapText="1"/>
    </xf>
    <xf numFmtId="14" fontId="10" fillId="0" borderId="11" xfId="3" applyNumberFormat="1" applyFont="1" applyFill="1" applyBorder="1" applyAlignment="1" applyProtection="1">
      <alignment horizontal="left" vertical="center" wrapText="1"/>
    </xf>
    <xf numFmtId="14" fontId="10" fillId="0" borderId="10" xfId="3" applyNumberFormat="1" applyFont="1" applyFill="1" applyBorder="1" applyAlignment="1" applyProtection="1">
      <alignment horizontal="left" vertical="center" wrapText="1"/>
    </xf>
    <xf numFmtId="0" fontId="60" fillId="44" borderId="26" xfId="4" applyFont="1" applyFill="1" applyBorder="1" applyAlignment="1" applyProtection="1">
      <alignment horizontal="center" vertical="center" wrapText="1"/>
    </xf>
    <xf numFmtId="0" fontId="60" fillId="44" borderId="27" xfId="4" applyFont="1" applyFill="1" applyBorder="1" applyAlignment="1" applyProtection="1">
      <alignment horizontal="center" vertical="center" wrapText="1"/>
    </xf>
    <xf numFmtId="0" fontId="60" fillId="44" borderId="35" xfId="4" applyFont="1" applyFill="1" applyBorder="1" applyAlignment="1" applyProtection="1">
      <alignment horizontal="center" vertical="center" wrapText="1"/>
    </xf>
    <xf numFmtId="0" fontId="60" fillId="44" borderId="34" xfId="4" applyFont="1" applyFill="1" applyBorder="1" applyAlignment="1" applyProtection="1">
      <alignment horizontal="center" vertical="center" wrapText="1"/>
    </xf>
    <xf numFmtId="0" fontId="10" fillId="0" borderId="31"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56" fillId="43" borderId="9" xfId="0" applyFont="1" applyFill="1" applyBorder="1" applyAlignment="1">
      <alignment horizontal="left" vertical="center" wrapText="1"/>
    </xf>
    <xf numFmtId="0" fontId="56" fillId="43" borderId="10" xfId="0" applyFont="1" applyFill="1" applyBorder="1" applyAlignment="1">
      <alignment horizontal="left" vertical="center" wrapText="1"/>
    </xf>
    <xf numFmtId="0" fontId="60" fillId="44" borderId="26" xfId="4" applyFont="1" applyFill="1" applyBorder="1" applyAlignment="1" applyProtection="1">
      <alignment horizontal="center" vertical="center"/>
    </xf>
    <xf numFmtId="0" fontId="60" fillId="44" borderId="27" xfId="4" applyFont="1" applyFill="1" applyBorder="1" applyAlignment="1" applyProtection="1">
      <alignment horizontal="center" vertical="center"/>
    </xf>
    <xf numFmtId="0" fontId="60" fillId="44" borderId="34" xfId="4" applyFont="1" applyFill="1" applyBorder="1" applyAlignment="1" applyProtection="1">
      <alignment horizontal="center" vertical="center"/>
    </xf>
    <xf numFmtId="0" fontId="51" fillId="42" borderId="9" xfId="0" applyFont="1" applyFill="1" applyBorder="1" applyAlignment="1">
      <alignment horizontal="left" vertical="center"/>
    </xf>
    <xf numFmtId="0" fontId="51" fillId="42" borderId="10" xfId="0" applyFont="1" applyFill="1" applyBorder="1" applyAlignment="1">
      <alignment horizontal="left" vertical="center"/>
    </xf>
    <xf numFmtId="0" fontId="57" fillId="45" borderId="25" xfId="0" applyFont="1" applyFill="1" applyBorder="1" applyAlignment="1">
      <alignment horizontal="left" vertical="center"/>
    </xf>
    <xf numFmtId="0" fontId="57" fillId="45" borderId="19" xfId="0" applyFont="1" applyFill="1" applyBorder="1" applyAlignment="1">
      <alignment horizontal="left" vertical="center"/>
    </xf>
    <xf numFmtId="0" fontId="57" fillId="45" borderId="42" xfId="0" applyFont="1" applyFill="1" applyBorder="1" applyAlignment="1">
      <alignment horizontal="left" vertical="center"/>
    </xf>
    <xf numFmtId="0" fontId="57" fillId="45" borderId="26" xfId="0" applyFont="1" applyFill="1" applyBorder="1" applyAlignment="1">
      <alignment horizontal="left" vertical="center"/>
    </xf>
    <xf numFmtId="0" fontId="57" fillId="45" borderId="27" xfId="0" applyFont="1" applyFill="1" applyBorder="1" applyAlignment="1">
      <alignment horizontal="left" vertical="center"/>
    </xf>
    <xf numFmtId="0" fontId="57" fillId="45" borderId="34" xfId="0" applyFont="1" applyFill="1" applyBorder="1" applyAlignment="1">
      <alignment horizontal="left" vertical="center"/>
    </xf>
    <xf numFmtId="14" fontId="50" fillId="39" borderId="9" xfId="2" applyNumberFormat="1" applyBorder="1" applyAlignment="1" applyProtection="1">
      <alignment horizontal="left" vertical="center" wrapText="1"/>
    </xf>
    <xf numFmtId="14" fontId="50" fillId="39" borderId="11" xfId="2" applyNumberFormat="1" applyBorder="1" applyAlignment="1" applyProtection="1">
      <alignment horizontal="left" vertical="center" wrapText="1"/>
    </xf>
    <xf numFmtId="14" fontId="50" fillId="39" borderId="39" xfId="2" applyNumberFormat="1" applyBorder="1" applyAlignment="1" applyProtection="1">
      <alignment horizontal="left" vertical="center" wrapText="1"/>
    </xf>
    <xf numFmtId="0" fontId="53" fillId="42" borderId="23" xfId="0" applyFont="1" applyFill="1" applyBorder="1" applyAlignment="1">
      <alignment horizontal="center" vertical="center"/>
    </xf>
    <xf numFmtId="0" fontId="53" fillId="42" borderId="22" xfId="0" applyFont="1" applyFill="1" applyBorder="1" applyAlignment="1">
      <alignment horizontal="center" vertical="center"/>
    </xf>
    <xf numFmtId="0" fontId="53" fillId="42" borderId="40" xfId="0" applyFont="1" applyFill="1" applyBorder="1" applyAlignment="1">
      <alignment horizontal="center" vertical="center"/>
    </xf>
    <xf numFmtId="0" fontId="53" fillId="42" borderId="24" xfId="0" applyFont="1" applyFill="1" applyBorder="1" applyAlignment="1">
      <alignment horizontal="center" vertical="center"/>
    </xf>
    <xf numFmtId="0" fontId="53" fillId="42" borderId="0" xfId="0" applyFont="1" applyFill="1" applyAlignment="1">
      <alignment horizontal="center" vertical="center"/>
    </xf>
    <xf numFmtId="0" fontId="53" fillId="42" borderId="41" xfId="0" applyFont="1" applyFill="1" applyBorder="1" applyAlignment="1">
      <alignment horizontal="center" vertical="center"/>
    </xf>
    <xf numFmtId="49" fontId="50" fillId="39" borderId="3" xfId="2" applyNumberFormat="1" applyBorder="1" applyAlignment="1" applyProtection="1">
      <alignment horizontal="left" vertical="center" wrapText="1"/>
    </xf>
    <xf numFmtId="0" fontId="50" fillId="39" borderId="4" xfId="2" applyNumberFormat="1" applyBorder="1" applyAlignment="1" applyProtection="1">
      <alignment horizontal="left" vertical="center" wrapText="1"/>
    </xf>
    <xf numFmtId="0" fontId="50" fillId="39" borderId="46" xfId="2" applyNumberFormat="1" applyBorder="1" applyAlignment="1" applyProtection="1">
      <alignment horizontal="left" vertical="center" wrapText="1"/>
    </xf>
    <xf numFmtId="0" fontId="54" fillId="42" borderId="30" xfId="0" applyFont="1" applyFill="1" applyBorder="1" applyAlignment="1">
      <alignment horizontal="left" vertical="center"/>
    </xf>
    <xf numFmtId="0" fontId="51" fillId="42" borderId="18" xfId="0" applyFont="1" applyFill="1" applyBorder="1" applyAlignment="1">
      <alignment horizontal="left" vertical="center"/>
    </xf>
    <xf numFmtId="0" fontId="51" fillId="42" borderId="3" xfId="0" applyFont="1" applyFill="1" applyBorder="1" applyAlignment="1">
      <alignment horizontal="left" vertical="center"/>
    </xf>
    <xf numFmtId="0" fontId="51" fillId="42" borderId="5" xfId="0" applyFont="1" applyFill="1" applyBorder="1" applyAlignment="1">
      <alignment horizontal="left" vertical="center"/>
    </xf>
    <xf numFmtId="0" fontId="56" fillId="43" borderId="3" xfId="0" applyFont="1" applyFill="1" applyBorder="1" applyAlignment="1">
      <alignment horizontal="left" vertical="center" wrapText="1"/>
    </xf>
    <xf numFmtId="0" fontId="56" fillId="43" borderId="5" xfId="0" applyFont="1" applyFill="1" applyBorder="1" applyAlignment="1">
      <alignment horizontal="left" vertical="center" wrapText="1"/>
    </xf>
    <xf numFmtId="0" fontId="56" fillId="43" borderId="6" xfId="0" applyFont="1" applyFill="1" applyBorder="1" applyAlignment="1">
      <alignment horizontal="left" vertical="center" wrapText="1"/>
    </xf>
    <xf numFmtId="0" fontId="56" fillId="43" borderId="8" xfId="0" applyFont="1" applyFill="1" applyBorder="1" applyAlignment="1">
      <alignment horizontal="left" vertical="center" wrapText="1"/>
    </xf>
    <xf numFmtId="0" fontId="51" fillId="42" borderId="29" xfId="0" applyFont="1" applyFill="1" applyBorder="1" applyAlignment="1">
      <alignment horizontal="left" vertical="center"/>
    </xf>
    <xf numFmtId="0" fontId="51" fillId="42" borderId="16" xfId="0" applyFont="1" applyFill="1" applyBorder="1" applyAlignment="1">
      <alignment horizontal="left" vertical="center"/>
    </xf>
    <xf numFmtId="0" fontId="57" fillId="45" borderId="24" xfId="0" applyFont="1" applyFill="1" applyBorder="1" applyAlignment="1">
      <alignment horizontal="left" vertical="center"/>
    </xf>
    <xf numFmtId="0" fontId="57" fillId="45" borderId="0" xfId="0" applyFont="1" applyFill="1" applyAlignment="1">
      <alignment horizontal="left" vertical="center"/>
    </xf>
    <xf numFmtId="0" fontId="57" fillId="45" borderId="41" xfId="0" applyFont="1" applyFill="1" applyBorder="1" applyAlignment="1">
      <alignment horizontal="left" vertical="center"/>
    </xf>
    <xf numFmtId="0" fontId="59" fillId="47" borderId="27" xfId="5" applyFont="1" applyFill="1" applyBorder="1" applyAlignment="1" applyProtection="1">
      <alignment horizontal="center" vertical="center" wrapText="1"/>
    </xf>
    <xf numFmtId="0" fontId="59" fillId="47" borderId="34" xfId="5" applyFont="1" applyFill="1" applyBorder="1" applyAlignment="1" applyProtection="1">
      <alignment horizontal="center" vertical="center" wrapText="1"/>
    </xf>
    <xf numFmtId="0" fontId="54" fillId="42" borderId="18" xfId="0" applyFont="1" applyFill="1" applyBorder="1" applyAlignment="1">
      <alignment horizontal="left" vertical="center"/>
    </xf>
    <xf numFmtId="0" fontId="54" fillId="42" borderId="28" xfId="0" applyFont="1" applyFill="1" applyBorder="1" applyAlignment="1">
      <alignment horizontal="left" vertical="center"/>
    </xf>
    <xf numFmtId="0" fontId="54" fillId="42" borderId="17" xfId="0" applyFont="1" applyFill="1" applyBorder="1" applyAlignment="1">
      <alignment horizontal="left" vertical="center"/>
    </xf>
    <xf numFmtId="0" fontId="57" fillId="47" borderId="26" xfId="0" applyFont="1" applyFill="1" applyBorder="1" applyAlignment="1">
      <alignment horizontal="center" vertical="center" wrapText="1"/>
    </xf>
    <xf numFmtId="0" fontId="57" fillId="47" borderId="27" xfId="0" applyFont="1" applyFill="1" applyBorder="1" applyAlignment="1">
      <alignment horizontal="center" vertical="center" wrapText="1"/>
    </xf>
    <xf numFmtId="0" fontId="25" fillId="48" borderId="9" xfId="6" applyFont="1" applyFill="1" applyBorder="1" applyAlignment="1">
      <alignment horizontal="left" vertical="center"/>
    </xf>
    <xf numFmtId="0" fontId="25" fillId="48" borderId="11" xfId="6" applyFont="1" applyFill="1" applyBorder="1" applyAlignment="1">
      <alignment horizontal="left" vertical="center"/>
    </xf>
    <xf numFmtId="0" fontId="25" fillId="48" borderId="7" xfId="6" applyFont="1" applyFill="1" applyBorder="1" applyAlignment="1">
      <alignment horizontal="left" vertical="center"/>
    </xf>
    <xf numFmtId="0" fontId="24" fillId="50" borderId="13" xfId="6" applyFont="1" applyFill="1" applyBorder="1" applyAlignment="1">
      <alignment horizontal="left" vertical="center" wrapText="1"/>
    </xf>
    <xf numFmtId="0" fontId="24" fillId="50" borderId="0" xfId="6" applyFont="1" applyFill="1" applyAlignment="1">
      <alignment horizontal="left" vertical="center" wrapText="1"/>
    </xf>
    <xf numFmtId="0" fontId="14" fillId="3" borderId="4" xfId="0" applyFont="1" applyFill="1" applyBorder="1"/>
    <xf numFmtId="0" fontId="0" fillId="2" borderId="2" xfId="0" applyFill="1" applyBorder="1" applyAlignment="1">
      <alignment horizontal="left" vertical="top"/>
    </xf>
    <xf numFmtId="0" fontId="0" fillId="2" borderId="2" xfId="0" applyFill="1" applyBorder="1" applyAlignment="1">
      <alignment horizontal="left"/>
    </xf>
    <xf numFmtId="0" fontId="0" fillId="0" borderId="1" xfId="0" applyBorder="1"/>
    <xf numFmtId="0" fontId="6" fillId="0" borderId="2" xfId="0" applyFont="1" applyBorder="1" applyAlignment="1">
      <alignment vertical="center"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1" fillId="2" borderId="4" xfId="0" quotePrefix="1" applyFont="1" applyFill="1" applyBorder="1" applyAlignment="1">
      <alignment horizontal="center" vertical="center"/>
    </xf>
    <xf numFmtId="0" fontId="1" fillId="2" borderId="5" xfId="0" quotePrefix="1" applyFont="1" applyFill="1" applyBorder="1" applyAlignment="1">
      <alignment horizontal="center" vertical="center"/>
    </xf>
    <xf numFmtId="0" fontId="1" fillId="2" borderId="0" xfId="0" quotePrefix="1" applyFont="1" applyFill="1" applyAlignment="1">
      <alignment horizontal="center" vertical="center"/>
    </xf>
    <xf numFmtId="0" fontId="1" fillId="2" borderId="14" xfId="0" quotePrefix="1" applyFont="1" applyFill="1" applyBorder="1" applyAlignment="1">
      <alignment horizontal="center" vertical="center"/>
    </xf>
    <xf numFmtId="0" fontId="4" fillId="3" borderId="12" xfId="0" applyFont="1" applyFill="1" applyBorder="1" applyAlignment="1">
      <alignment vertical="center" wrapText="1"/>
    </xf>
    <xf numFmtId="0" fontId="4" fillId="3" borderId="0" xfId="0" applyFont="1" applyFill="1" applyAlignment="1">
      <alignment vertical="center" wrapText="1"/>
    </xf>
    <xf numFmtId="0" fontId="5" fillId="2" borderId="9" xfId="0" applyFont="1" applyFill="1" applyBorder="1"/>
    <xf numFmtId="0" fontId="5" fillId="2" borderId="11" xfId="0" applyFont="1" applyFill="1" applyBorder="1"/>
    <xf numFmtId="0" fontId="5" fillId="2" borderId="10" xfId="0" applyFont="1" applyFill="1" applyBorder="1"/>
    <xf numFmtId="0" fontId="0" fillId="2" borderId="1" xfId="0" applyFill="1" applyBorder="1"/>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0" fillId="0" borderId="2" xfId="0" applyBorder="1" applyAlignment="1">
      <alignment vertical="center" wrapText="1"/>
    </xf>
    <xf numFmtId="0" fontId="0" fillId="2" borderId="2" xfId="0" applyFill="1" applyBorder="1"/>
    <xf numFmtId="0" fontId="5" fillId="2" borderId="9" xfId="0" applyFont="1" applyFill="1" applyBorder="1" applyAlignment="1">
      <alignment vertical="center"/>
    </xf>
    <xf numFmtId="0" fontId="5" fillId="2" borderId="11" xfId="0" applyFont="1" applyFill="1" applyBorder="1" applyAlignment="1">
      <alignment vertical="center"/>
    </xf>
    <xf numFmtId="0" fontId="5" fillId="2" borderId="10" xfId="0" applyFont="1" applyFill="1" applyBorder="1" applyAlignment="1">
      <alignment vertical="center"/>
    </xf>
    <xf numFmtId="0" fontId="8" fillId="5" borderId="2" xfId="0" applyFont="1" applyFill="1" applyBorder="1" applyAlignment="1">
      <alignment horizontal="center" wrapText="1"/>
    </xf>
    <xf numFmtId="0" fontId="5" fillId="0" borderId="2" xfId="0" applyFont="1" applyBorder="1" applyAlignment="1" applyProtection="1">
      <alignment vertical="center" wrapText="1"/>
      <protection locked="0"/>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Protection="1">
      <protection locked="0"/>
    </xf>
    <xf numFmtId="0" fontId="0" fillId="0" borderId="11" xfId="0" applyBorder="1" applyProtection="1">
      <protection locked="0"/>
    </xf>
    <xf numFmtId="0" fontId="0" fillId="0" borderId="10" xfId="0" applyBorder="1" applyProtection="1">
      <protection locked="0"/>
    </xf>
    <xf numFmtId="0" fontId="5" fillId="0" borderId="2" xfId="0" applyFont="1" applyBorder="1" applyAlignment="1">
      <alignment vertical="center" wrapText="1"/>
    </xf>
    <xf numFmtId="0" fontId="33" fillId="0" borderId="2"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0" fontId="31" fillId="0" borderId="2" xfId="0" applyFont="1" applyBorder="1" applyAlignment="1">
      <alignment vertical="center" wrapText="1"/>
    </xf>
    <xf numFmtId="0" fontId="32" fillId="0" borderId="2" xfId="0" applyFont="1" applyBorder="1" applyAlignment="1">
      <alignment vertical="center" wrapText="1"/>
    </xf>
    <xf numFmtId="0" fontId="9" fillId="0" borderId="2" xfId="0" applyFont="1" applyBorder="1" applyAlignment="1">
      <alignment vertical="center" wrapText="1"/>
    </xf>
    <xf numFmtId="0" fontId="30" fillId="0" borderId="2" xfId="0" applyFont="1" applyBorder="1" applyAlignment="1">
      <alignment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6" fillId="31" borderId="9" xfId="0" applyFont="1" applyFill="1" applyBorder="1" applyAlignment="1">
      <alignment horizontal="center" vertical="center" wrapText="1"/>
    </xf>
    <xf numFmtId="0" fontId="26" fillId="31" borderId="11" xfId="0" applyFont="1" applyFill="1" applyBorder="1" applyAlignment="1">
      <alignment horizontal="center" vertical="center" wrapText="1"/>
    </xf>
    <xf numFmtId="0" fontId="26" fillId="31" borderId="10" xfId="0" applyFont="1" applyFill="1" applyBorder="1" applyAlignment="1">
      <alignment horizontal="center" vertical="center" wrapText="1"/>
    </xf>
    <xf numFmtId="0" fontId="26" fillId="31" borderId="2" xfId="0" applyFont="1" applyFill="1" applyBorder="1" applyAlignment="1">
      <alignment vertical="center" wrapText="1"/>
    </xf>
    <xf numFmtId="0" fontId="25" fillId="23" borderId="2" xfId="0" applyFont="1" applyFill="1" applyBorder="1" applyAlignment="1">
      <alignment horizontal="center"/>
    </xf>
    <xf numFmtId="0" fontId="11" fillId="29" borderId="2" xfId="0" applyFont="1" applyFill="1" applyBorder="1" applyAlignment="1">
      <alignment horizontal="center" vertical="center" wrapText="1"/>
    </xf>
    <xf numFmtId="0" fontId="25" fillId="23" borderId="9" xfId="0" applyFont="1" applyFill="1" applyBorder="1" applyAlignment="1">
      <alignment horizontal="center" vertical="center"/>
    </xf>
    <xf numFmtId="0" fontId="25" fillId="23" borderId="11" xfId="0" applyFont="1" applyFill="1" applyBorder="1" applyAlignment="1">
      <alignment horizontal="center" vertical="center"/>
    </xf>
    <xf numFmtId="0" fontId="25" fillId="23" borderId="10" xfId="0" applyFont="1" applyFill="1" applyBorder="1" applyAlignment="1">
      <alignment horizontal="center" vertical="center"/>
    </xf>
    <xf numFmtId="0" fontId="27" fillId="4" borderId="9"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3" fillId="16" borderId="9" xfId="0" applyFont="1" applyFill="1" applyBorder="1" applyAlignment="1">
      <alignment horizontal="center" vertical="center" wrapText="1"/>
    </xf>
    <xf numFmtId="0" fontId="23" fillId="16" borderId="11" xfId="0" applyFont="1" applyFill="1" applyBorder="1" applyAlignment="1">
      <alignment horizontal="center" vertical="center" wrapText="1"/>
    </xf>
    <xf numFmtId="0" fontId="23" fillId="16" borderId="10" xfId="0" applyFont="1" applyFill="1" applyBorder="1" applyAlignment="1">
      <alignment horizontal="center" vertical="center" wrapText="1"/>
    </xf>
    <xf numFmtId="0" fontId="23" fillId="31" borderId="9" xfId="0" applyFont="1" applyFill="1" applyBorder="1" applyAlignment="1">
      <alignment horizontal="center" vertical="center" wrapText="1"/>
    </xf>
    <xf numFmtId="0" fontId="23" fillId="31" borderId="11" xfId="0" applyFont="1" applyFill="1" applyBorder="1" applyAlignment="1">
      <alignment horizontal="center" vertical="center" wrapText="1"/>
    </xf>
    <xf numFmtId="0" fontId="23" fillId="31" borderId="10" xfId="0" applyFont="1" applyFill="1" applyBorder="1" applyAlignment="1">
      <alignment horizontal="center" vertical="center" wrapText="1"/>
    </xf>
    <xf numFmtId="0" fontId="43" fillId="0" borderId="2" xfId="0" applyFont="1" applyBorder="1" applyAlignment="1">
      <alignment vertical="center" wrapText="1"/>
    </xf>
    <xf numFmtId="0" fontId="0" fillId="24" borderId="2" xfId="0" applyFill="1" applyBorder="1" applyAlignment="1">
      <alignment horizontal="center" vertical="center"/>
    </xf>
    <xf numFmtId="0" fontId="0" fillId="10" borderId="2" xfId="0" applyFill="1" applyBorder="1" applyAlignment="1">
      <alignment horizontal="center" vertical="center"/>
    </xf>
    <xf numFmtId="0" fontId="44" fillId="0" borderId="2" xfId="0" applyFont="1" applyBorder="1" applyAlignment="1">
      <alignment horizontal="center" vertical="center"/>
    </xf>
    <xf numFmtId="0" fontId="0" fillId="33" borderId="2" xfId="0" applyFill="1" applyBorder="1" applyAlignment="1">
      <alignment horizontal="center" vertical="center"/>
    </xf>
    <xf numFmtId="0" fontId="0" fillId="17" borderId="2" xfId="0" applyFill="1" applyBorder="1" applyAlignment="1">
      <alignment horizontal="center" vertical="center"/>
    </xf>
    <xf numFmtId="0" fontId="9" fillId="33" borderId="2" xfId="0" applyFont="1" applyFill="1" applyBorder="1" applyAlignment="1">
      <alignment vertical="center" wrapText="1"/>
    </xf>
    <xf numFmtId="0" fontId="44" fillId="0" borderId="9" xfId="0" applyFont="1" applyBorder="1" applyAlignment="1">
      <alignment horizontal="center" vertical="center"/>
    </xf>
    <xf numFmtId="0" fontId="0" fillId="32" borderId="2" xfId="0" applyFill="1" applyBorder="1" applyAlignment="1">
      <alignment horizontal="center" vertical="center"/>
    </xf>
    <xf numFmtId="0" fontId="10" fillId="35" borderId="9" xfId="0" applyFont="1" applyFill="1" applyBorder="1" applyAlignment="1">
      <alignment horizontal="center" vertical="center"/>
    </xf>
    <xf numFmtId="0" fontId="10" fillId="35" borderId="11" xfId="0" applyFont="1" applyFill="1" applyBorder="1" applyAlignment="1">
      <alignment horizontal="center" vertical="center"/>
    </xf>
    <xf numFmtId="0" fontId="10" fillId="35" borderId="10" xfId="0" applyFont="1" applyFill="1" applyBorder="1" applyAlignment="1">
      <alignment horizontal="center" vertical="center"/>
    </xf>
    <xf numFmtId="0" fontId="0" fillId="31" borderId="2" xfId="0" applyFill="1" applyBorder="1" applyAlignment="1">
      <alignment vertical="center" wrapText="1"/>
    </xf>
    <xf numFmtId="0" fontId="7" fillId="16" borderId="9" xfId="0" applyFont="1" applyFill="1" applyBorder="1" applyAlignment="1">
      <alignment horizontal="center" vertical="center" wrapText="1"/>
    </xf>
    <xf numFmtId="0" fontId="7" fillId="16" borderId="11" xfId="0" applyFont="1" applyFill="1" applyBorder="1" applyAlignment="1">
      <alignment horizontal="center" vertical="center" wrapText="1"/>
    </xf>
    <xf numFmtId="0" fontId="7" fillId="16" borderId="10" xfId="0" applyFont="1" applyFill="1" applyBorder="1" applyAlignment="1">
      <alignment horizontal="center" vertical="center" wrapText="1"/>
    </xf>
    <xf numFmtId="14" fontId="0" fillId="4" borderId="2" xfId="0" applyNumberFormat="1" applyFill="1" applyBorder="1"/>
    <xf numFmtId="0" fontId="9" fillId="31" borderId="2" xfId="0" applyFont="1" applyFill="1" applyBorder="1" applyAlignment="1">
      <alignment vertical="center" wrapText="1"/>
    </xf>
    <xf numFmtId="0" fontId="9" fillId="16" borderId="2" xfId="0" applyFont="1" applyFill="1" applyBorder="1" applyAlignment="1">
      <alignment vertical="center" wrapText="1"/>
    </xf>
    <xf numFmtId="0" fontId="0" fillId="31" borderId="2" xfId="0" applyFill="1" applyBorder="1" applyAlignment="1">
      <alignment horizontal="center" vertical="center"/>
    </xf>
    <xf numFmtId="0" fontId="0" fillId="16" borderId="2" xfId="0" applyFill="1" applyBorder="1" applyAlignment="1">
      <alignment horizontal="center" vertical="center"/>
    </xf>
    <xf numFmtId="0" fontId="0" fillId="2" borderId="2" xfId="0" applyFill="1" applyBorder="1" applyAlignment="1">
      <alignment horizontal="center" vertical="center"/>
    </xf>
    <xf numFmtId="0" fontId="10" fillId="33" borderId="2" xfId="0" applyFont="1" applyFill="1" applyBorder="1" applyAlignment="1">
      <alignment horizontal="center" vertical="center"/>
    </xf>
    <xf numFmtId="0" fontId="16" fillId="24" borderId="13" xfId="0" applyFont="1" applyFill="1" applyBorder="1" applyAlignment="1">
      <alignment horizontal="center" vertical="center"/>
    </xf>
    <xf numFmtId="0" fontId="16" fillId="24" borderId="0" xfId="0" applyFont="1" applyFill="1" applyAlignment="1">
      <alignment horizontal="center" vertical="center"/>
    </xf>
    <xf numFmtId="0" fontId="16" fillId="24" borderId="14" xfId="0" applyFont="1" applyFill="1" applyBorder="1" applyAlignment="1">
      <alignment horizontal="center" vertical="center"/>
    </xf>
    <xf numFmtId="0" fontId="10" fillId="34" borderId="9" xfId="0" applyFont="1" applyFill="1" applyBorder="1" applyAlignment="1">
      <alignment horizontal="center" vertical="center"/>
    </xf>
    <xf numFmtId="0" fontId="10" fillId="34" borderId="11" xfId="0" applyFont="1" applyFill="1" applyBorder="1" applyAlignment="1">
      <alignment horizontal="center" vertical="center"/>
    </xf>
    <xf numFmtId="0" fontId="10" fillId="34" borderId="10" xfId="0" applyFont="1" applyFill="1" applyBorder="1" applyAlignment="1">
      <alignment horizontal="center" vertical="center"/>
    </xf>
    <xf numFmtId="0" fontId="10" fillId="14" borderId="9" xfId="0" applyFont="1" applyFill="1" applyBorder="1" applyAlignment="1">
      <alignment horizontal="center" vertical="center"/>
    </xf>
    <xf numFmtId="0" fontId="10" fillId="14" borderId="11" xfId="0" applyFont="1" applyFill="1" applyBorder="1" applyAlignment="1">
      <alignment horizontal="center" vertical="center"/>
    </xf>
    <xf numFmtId="0" fontId="10" fillId="14" borderId="10"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9" fillId="17" borderId="2" xfId="0" applyFont="1" applyFill="1" applyBorder="1" applyAlignment="1">
      <alignment vertical="center" wrapText="1"/>
    </xf>
    <xf numFmtId="0" fontId="0" fillId="22" borderId="2" xfId="0" applyFill="1" applyBorder="1" applyAlignment="1">
      <alignment horizontal="center" vertical="center"/>
    </xf>
    <xf numFmtId="0" fontId="21" fillId="20" borderId="0" xfId="0" applyFont="1" applyFill="1"/>
    <xf numFmtId="0" fontId="28" fillId="24" borderId="2" xfId="0" applyFont="1" applyFill="1" applyBorder="1" applyAlignment="1">
      <alignment horizontal="center" vertical="center" wrapText="1"/>
    </xf>
    <xf numFmtId="0" fontId="10" fillId="20" borderId="2" xfId="0" applyFont="1" applyFill="1" applyBorder="1" applyAlignment="1">
      <alignment horizontal="center" vertical="center"/>
    </xf>
    <xf numFmtId="0" fontId="24" fillId="23" borderId="2" xfId="0" applyFont="1" applyFill="1" applyBorder="1" applyAlignment="1">
      <alignment horizontal="center" vertical="center"/>
    </xf>
    <xf numFmtId="0" fontId="23" fillId="4" borderId="2" xfId="0" applyFont="1" applyFill="1" applyBorder="1" applyAlignment="1">
      <alignment vertical="center" wrapText="1"/>
    </xf>
    <xf numFmtId="0" fontId="10" fillId="4" borderId="2" xfId="0" applyFont="1" applyFill="1" applyBorder="1" applyAlignment="1">
      <alignment vertical="center" wrapText="1"/>
    </xf>
    <xf numFmtId="0" fontId="22" fillId="16" borderId="2" xfId="0" applyFont="1" applyFill="1" applyBorder="1" applyAlignment="1">
      <alignment vertical="center" wrapText="1"/>
    </xf>
    <xf numFmtId="0" fontId="22" fillId="31" borderId="2" xfId="0" applyFont="1" applyFill="1" applyBorder="1" applyAlignment="1">
      <alignment vertical="center" wrapText="1"/>
    </xf>
    <xf numFmtId="0" fontId="22" fillId="4" borderId="2" xfId="0" applyFont="1" applyFill="1" applyBorder="1" applyAlignment="1">
      <alignment vertical="center" wrapText="1"/>
    </xf>
    <xf numFmtId="0" fontId="45" fillId="10" borderId="2" xfId="0" applyFont="1" applyFill="1" applyBorder="1" applyAlignment="1">
      <alignment horizontal="center" vertical="center" wrapText="1"/>
    </xf>
    <xf numFmtId="0" fontId="46" fillId="0" borderId="2" xfId="0" applyFont="1" applyBorder="1"/>
    <xf numFmtId="0" fontId="25" fillId="23" borderId="9" xfId="0" applyFont="1" applyFill="1" applyBorder="1" applyAlignment="1">
      <alignment horizontal="center"/>
    </xf>
    <xf numFmtId="0" fontId="25" fillId="23" borderId="11" xfId="0" applyFont="1" applyFill="1" applyBorder="1" applyAlignment="1">
      <alignment horizontal="center"/>
    </xf>
    <xf numFmtId="0" fontId="25" fillId="23" borderId="10" xfId="0" applyFont="1" applyFill="1" applyBorder="1" applyAlignment="1">
      <alignment horizontal="center"/>
    </xf>
    <xf numFmtId="0" fontId="0" fillId="16" borderId="9" xfId="0" applyFill="1" applyBorder="1"/>
    <xf numFmtId="0" fontId="0" fillId="16" borderId="11" xfId="0" applyFill="1" applyBorder="1"/>
    <xf numFmtId="0" fontId="0" fillId="16" borderId="10" xfId="0" applyFill="1" applyBorder="1"/>
    <xf numFmtId="0" fontId="0" fillId="31" borderId="9" xfId="0" applyFill="1" applyBorder="1"/>
    <xf numFmtId="0" fontId="0" fillId="31" borderId="11" xfId="0" applyFill="1" applyBorder="1"/>
    <xf numFmtId="0" fontId="0" fillId="31" borderId="10" xfId="0" applyFill="1" applyBorder="1"/>
    <xf numFmtId="0" fontId="0" fillId="4" borderId="2" xfId="0" applyFill="1" applyBorder="1" applyAlignment="1">
      <alignment vertical="center" wrapText="1"/>
    </xf>
    <xf numFmtId="0" fontId="0" fillId="4" borderId="13" xfId="0" applyFill="1" applyBorder="1"/>
    <xf numFmtId="0" fontId="0" fillId="4" borderId="0" xfId="0" applyFill="1"/>
    <xf numFmtId="0" fontId="0" fillId="31" borderId="2" xfId="0" applyFill="1" applyBorder="1"/>
    <xf numFmtId="0" fontId="0" fillId="16" borderId="2" xfId="0" applyFill="1" applyBorder="1"/>
    <xf numFmtId="0" fontId="27" fillId="16" borderId="9" xfId="0" applyFont="1" applyFill="1" applyBorder="1" applyAlignment="1">
      <alignment horizontal="center" vertical="center" wrapText="1"/>
    </xf>
    <xf numFmtId="0" fontId="27" fillId="16" borderId="11" xfId="0" applyFont="1" applyFill="1" applyBorder="1" applyAlignment="1">
      <alignment horizontal="center" vertical="center" wrapText="1"/>
    </xf>
    <xf numFmtId="0" fontId="27" fillId="16" borderId="10" xfId="0" applyFont="1" applyFill="1" applyBorder="1" applyAlignment="1">
      <alignment horizontal="center" vertical="center" wrapText="1"/>
    </xf>
    <xf numFmtId="0" fontId="11" fillId="31" borderId="9" xfId="0" applyFont="1" applyFill="1" applyBorder="1" applyAlignment="1">
      <alignment horizontal="center" vertical="center" wrapText="1"/>
    </xf>
    <xf numFmtId="0" fontId="11" fillId="31" borderId="11" xfId="0" applyFont="1" applyFill="1" applyBorder="1" applyAlignment="1">
      <alignment horizontal="center" vertical="center" wrapText="1"/>
    </xf>
    <xf numFmtId="0" fontId="11" fillId="31" borderId="10" xfId="0" applyFont="1" applyFill="1" applyBorder="1" applyAlignment="1">
      <alignment horizontal="center" vertical="center" wrapText="1"/>
    </xf>
    <xf numFmtId="0" fontId="25" fillId="23" borderId="9" xfId="0" applyFont="1" applyFill="1" applyBorder="1"/>
    <xf numFmtId="0" fontId="25" fillId="23" borderId="11" xfId="0" applyFont="1" applyFill="1" applyBorder="1"/>
    <xf numFmtId="0" fontId="25" fillId="23" borderId="10" xfId="0" applyFont="1" applyFill="1" applyBorder="1"/>
    <xf numFmtId="0" fontId="46" fillId="0" borderId="10" xfId="0" applyFont="1" applyBorder="1"/>
    <xf numFmtId="0" fontId="10" fillId="31" borderId="2" xfId="0" applyFont="1" applyFill="1" applyBorder="1" applyAlignment="1">
      <alignment horizontal="center" vertical="center"/>
    </xf>
    <xf numFmtId="0" fontId="10" fillId="32" borderId="2" xfId="0" applyFont="1" applyFill="1" applyBorder="1" applyAlignment="1">
      <alignment horizontal="center" vertical="center"/>
    </xf>
    <xf numFmtId="0" fontId="25" fillId="23" borderId="7" xfId="0" applyFont="1" applyFill="1" applyBorder="1" applyAlignment="1">
      <alignment horizontal="center"/>
    </xf>
    <xf numFmtId="0" fontId="10" fillId="16" borderId="2" xfId="0" applyFont="1" applyFill="1" applyBorder="1" applyAlignment="1">
      <alignment horizontal="center" vertical="center"/>
    </xf>
    <xf numFmtId="0" fontId="25" fillId="23" borderId="7" xfId="0" applyFont="1" applyFill="1" applyBorder="1"/>
    <xf numFmtId="0" fontId="10" fillId="16" borderId="15" xfId="0" applyFont="1" applyFill="1" applyBorder="1" applyAlignment="1">
      <alignment horizontal="center" vertical="center"/>
    </xf>
    <xf numFmtId="0" fontId="0" fillId="31" borderId="1" xfId="0" applyFill="1" applyBorder="1" applyAlignment="1">
      <alignment horizontal="center" vertical="center"/>
    </xf>
    <xf numFmtId="0" fontId="0" fillId="30" borderId="2" xfId="0" applyFill="1" applyBorder="1" applyAlignment="1">
      <alignment horizontal="center" vertical="center"/>
    </xf>
    <xf numFmtId="0" fontId="14" fillId="23" borderId="2" xfId="0" applyFont="1" applyFill="1" applyBorder="1" applyAlignment="1">
      <alignment vertical="center" wrapText="1"/>
    </xf>
    <xf numFmtId="0" fontId="5" fillId="29" borderId="2" xfId="0" applyFont="1" applyFill="1" applyBorder="1" applyAlignment="1">
      <alignment horizontal="center" vertical="center"/>
    </xf>
    <xf numFmtId="0" fontId="25" fillId="23" borderId="0" xfId="0" applyFont="1" applyFill="1" applyAlignment="1">
      <alignment horizont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1" fillId="10" borderId="2" xfId="0" applyFont="1" applyFill="1" applyBorder="1" applyAlignment="1">
      <alignment horizontal="right" vertical="center"/>
    </xf>
    <xf numFmtId="0" fontId="42" fillId="10" borderId="2" xfId="0" applyFont="1" applyFill="1" applyBorder="1" applyAlignment="1">
      <alignment horizontal="right" vertical="center"/>
    </xf>
    <xf numFmtId="0" fontId="25" fillId="23" borderId="7" xfId="0" applyFont="1" applyFill="1" applyBorder="1" applyAlignment="1">
      <alignment horizontal="center" vertical="center"/>
    </xf>
    <xf numFmtId="0" fontId="11" fillId="0" borderId="2" xfId="0" applyFont="1" applyBorder="1" applyAlignment="1">
      <alignment horizontal="center" vertical="center"/>
    </xf>
    <xf numFmtId="0" fontId="14" fillId="23" borderId="9" xfId="0" applyFont="1" applyFill="1" applyBorder="1" applyAlignment="1">
      <alignment horizontal="center" vertical="center"/>
    </xf>
    <xf numFmtId="0" fontId="14" fillId="23" borderId="11" xfId="0" applyFont="1" applyFill="1" applyBorder="1" applyAlignment="1">
      <alignment horizontal="center" vertical="center"/>
    </xf>
    <xf numFmtId="0" fontId="14" fillId="23" borderId="10" xfId="0" applyFont="1" applyFill="1" applyBorder="1" applyAlignment="1">
      <alignment horizontal="center" vertical="center"/>
    </xf>
    <xf numFmtId="0" fontId="14" fillId="23" borderId="9" xfId="0" applyFont="1" applyFill="1" applyBorder="1" applyAlignment="1">
      <alignment horizontal="center" vertical="center" wrapText="1"/>
    </xf>
    <xf numFmtId="0" fontId="14" fillId="23" borderId="11" xfId="0" applyFont="1" applyFill="1" applyBorder="1" applyAlignment="1">
      <alignment horizontal="center" vertical="center" wrapText="1"/>
    </xf>
    <xf numFmtId="0" fontId="14" fillId="23" borderId="10" xfId="0" applyFont="1" applyFill="1" applyBorder="1" applyAlignment="1">
      <alignment horizontal="center" vertical="center" wrapText="1"/>
    </xf>
    <xf numFmtId="0" fontId="0" fillId="21" borderId="2" xfId="0" applyFill="1" applyBorder="1" applyAlignment="1">
      <alignment horizontal="center" vertical="center"/>
    </xf>
    <xf numFmtId="0" fontId="0" fillId="4" borderId="2" xfId="0" applyFill="1" applyBorder="1"/>
    <xf numFmtId="0" fontId="11" fillId="30" borderId="2" xfId="0" applyFont="1" applyFill="1" applyBorder="1" applyAlignment="1">
      <alignment horizontal="center" vertical="center"/>
    </xf>
    <xf numFmtId="0" fontId="11" fillId="29" borderId="2" xfId="0" applyFont="1" applyFill="1" applyBorder="1" applyAlignment="1">
      <alignment horizontal="center" vertical="center"/>
    </xf>
    <xf numFmtId="0" fontId="0" fillId="21" borderId="2" xfId="0" applyFill="1" applyBorder="1" applyAlignment="1">
      <alignment horizontal="center"/>
    </xf>
    <xf numFmtId="0" fontId="14" fillId="23" borderId="9" xfId="0" applyFont="1" applyFill="1" applyBorder="1" applyAlignment="1">
      <alignment vertical="center" wrapText="1"/>
    </xf>
    <xf numFmtId="0" fontId="14" fillId="23" borderId="11" xfId="0" applyFont="1" applyFill="1" applyBorder="1" applyAlignment="1">
      <alignment vertical="center" wrapText="1"/>
    </xf>
    <xf numFmtId="0" fontId="14" fillId="23" borderId="10" xfId="0" applyFont="1" applyFill="1" applyBorder="1" applyAlignment="1">
      <alignment vertical="center" wrapText="1"/>
    </xf>
    <xf numFmtId="0" fontId="5" fillId="0" borderId="2" xfId="0" applyFont="1" applyBorder="1" applyAlignment="1">
      <alignment horizontal="center"/>
    </xf>
    <xf numFmtId="0" fontId="0" fillId="0" borderId="2" xfId="0" applyBorder="1" applyAlignment="1">
      <alignment horizontal="center"/>
    </xf>
    <xf numFmtId="0" fontId="0" fillId="25" borderId="2" xfId="0" applyFill="1" applyBorder="1"/>
    <xf numFmtId="0" fontId="11" fillId="0" borderId="2" xfId="0" applyFont="1" applyBorder="1" applyAlignment="1">
      <alignment horizontal="right"/>
    </xf>
    <xf numFmtId="0" fontId="11" fillId="0" borderId="2" xfId="0" applyFont="1" applyBorder="1" applyAlignment="1">
      <alignment horizontal="center"/>
    </xf>
    <xf numFmtId="0" fontId="24" fillId="23" borderId="2" xfId="0" applyFont="1" applyFill="1" applyBorder="1" applyAlignment="1">
      <alignment vertical="justify" wrapText="1"/>
    </xf>
    <xf numFmtId="0" fontId="14" fillId="23" borderId="7" xfId="0" applyFont="1" applyFill="1" applyBorder="1" applyAlignment="1">
      <alignment horizontal="center" vertical="center"/>
    </xf>
    <xf numFmtId="0" fontId="0" fillId="0" borderId="9" xfId="0" applyBorder="1"/>
    <xf numFmtId="0" fontId="0" fillId="0" borderId="11" xfId="0" applyBorder="1"/>
    <xf numFmtId="0" fontId="0" fillId="0" borderId="10" xfId="0" applyBorder="1"/>
    <xf numFmtId="0" fontId="0" fillId="0" borderId="9"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2" borderId="9" xfId="0" applyFill="1" applyBorder="1"/>
    <xf numFmtId="0" fontId="0" fillId="2" borderId="11" xfId="0" applyFill="1" applyBorder="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0" xfId="0" applyFill="1" applyBorder="1" applyAlignment="1">
      <alignment horizontal="left" vertical="top"/>
    </xf>
    <xf numFmtId="0" fontId="0" fillId="2" borderId="9" xfId="0" applyFill="1" applyBorder="1" applyAlignment="1">
      <alignment horizontal="left"/>
    </xf>
    <xf numFmtId="0" fontId="0" fillId="2" borderId="11" xfId="0" applyFill="1" applyBorder="1" applyAlignment="1">
      <alignment horizontal="left"/>
    </xf>
    <xf numFmtId="0" fontId="0" fillId="2" borderId="10" xfId="0" applyFill="1" applyBorder="1" applyAlignment="1">
      <alignment horizontal="left"/>
    </xf>
    <xf numFmtId="0" fontId="24" fillId="23" borderId="2" xfId="0" applyFont="1" applyFill="1" applyBorder="1" applyAlignment="1">
      <alignment horizontal="center" vertical="center" wrapText="1"/>
    </xf>
    <xf numFmtId="0" fontId="41" fillId="23" borderId="0" xfId="0" applyFont="1" applyFill="1" applyAlignment="1">
      <alignment horizontal="left" vertical="center"/>
    </xf>
    <xf numFmtId="0" fontId="12"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7" fillId="8" borderId="2" xfId="0" applyFont="1" applyFill="1" applyBorder="1" applyAlignment="1">
      <alignment vertical="center" wrapText="1"/>
    </xf>
    <xf numFmtId="0" fontId="18" fillId="8" borderId="2" xfId="0" applyFont="1" applyFill="1" applyBorder="1" applyAlignment="1">
      <alignment vertical="center" wrapText="1"/>
    </xf>
    <xf numFmtId="0" fontId="17" fillId="7" borderId="2" xfId="0" applyFont="1" applyFill="1" applyBorder="1" applyAlignment="1">
      <alignment vertical="center" wrapText="1"/>
    </xf>
    <xf numFmtId="0" fontId="18" fillId="7" borderId="2" xfId="0" applyFont="1" applyFill="1" applyBorder="1" applyAlignment="1">
      <alignment vertical="center" wrapText="1"/>
    </xf>
    <xf numFmtId="0" fontId="7" fillId="8"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11"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19" fillId="7" borderId="2" xfId="0" applyFont="1" applyFill="1" applyBorder="1" applyAlignment="1">
      <alignment vertical="center" wrapText="1"/>
    </xf>
    <xf numFmtId="0" fontId="36" fillId="13" borderId="2"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11" fillId="7"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28" fillId="10" borderId="9" xfId="0" applyFont="1" applyFill="1" applyBorder="1" applyAlignment="1">
      <alignment horizontal="center" vertical="center" wrapText="1"/>
    </xf>
    <xf numFmtId="0" fontId="28" fillId="10" borderId="11" xfId="0"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10" borderId="11" xfId="0"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19" fillId="9" borderId="2" xfId="0" applyFont="1" applyFill="1" applyBorder="1" applyAlignment="1">
      <alignment vertical="center" wrapText="1"/>
    </xf>
    <xf numFmtId="0" fontId="11" fillId="9" borderId="2" xfId="0" applyFont="1" applyFill="1" applyBorder="1" applyAlignment="1">
      <alignment horizontal="center" vertical="center" wrapText="1"/>
    </xf>
    <xf numFmtId="0" fontId="1" fillId="14" borderId="2" xfId="0" applyFont="1" applyFill="1" applyBorder="1" applyAlignment="1">
      <alignment horizontal="right"/>
    </xf>
    <xf numFmtId="0" fontId="1" fillId="14" borderId="2" xfId="0" applyFont="1" applyFill="1" applyBorder="1" applyAlignment="1">
      <alignment horizontal="center" vertical="center"/>
    </xf>
    <xf numFmtId="0" fontId="1" fillId="26" borderId="2" xfId="0" applyFont="1" applyFill="1" applyBorder="1" applyAlignment="1">
      <alignment horizontal="center" vertical="center"/>
    </xf>
    <xf numFmtId="0" fontId="1" fillId="26" borderId="2" xfId="0" applyFont="1" applyFill="1" applyBorder="1" applyAlignment="1">
      <alignment horizontal="right"/>
    </xf>
    <xf numFmtId="14" fontId="0" fillId="21" borderId="2" xfId="0" applyNumberFormat="1" applyFill="1" applyBorder="1"/>
    <xf numFmtId="0" fontId="37" fillId="23" borderId="9" xfId="0" applyFont="1" applyFill="1" applyBorder="1" applyAlignment="1">
      <alignment horizontal="center" vertical="center" wrapText="1"/>
    </xf>
    <xf numFmtId="0" fontId="37" fillId="23" borderId="11" xfId="0" applyFont="1" applyFill="1" applyBorder="1" applyAlignment="1">
      <alignment horizontal="center" vertical="center" wrapText="1"/>
    </xf>
    <xf numFmtId="0" fontId="37" fillId="23" borderId="10"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39" fillId="7" borderId="2" xfId="0" applyFont="1" applyFill="1" applyBorder="1" applyAlignment="1">
      <alignment horizontal="center" vertical="center" wrapText="1"/>
    </xf>
    <xf numFmtId="0" fontId="17" fillId="4" borderId="2" xfId="0" applyFont="1" applyFill="1" applyBorder="1" applyAlignment="1">
      <alignment vertical="center" wrapText="1"/>
    </xf>
    <xf numFmtId="0" fontId="40" fillId="4" borderId="3"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0" xfId="0"/>
    <xf numFmtId="14" fontId="0" fillId="25" borderId="2" xfId="0" applyNumberFormat="1" applyFill="1" applyBorder="1"/>
    <xf numFmtId="0" fontId="0" fillId="21" borderId="9" xfId="0" applyFill="1" applyBorder="1" applyAlignment="1">
      <alignment horizontal="center" vertical="center"/>
    </xf>
    <xf numFmtId="0" fontId="0" fillId="21" borderId="11" xfId="0" applyFill="1" applyBorder="1" applyAlignment="1">
      <alignment horizontal="center" vertical="center"/>
    </xf>
    <xf numFmtId="0" fontId="0" fillId="21" borderId="10" xfId="0" applyFill="1" applyBorder="1" applyAlignment="1">
      <alignment horizontal="center" vertical="center"/>
    </xf>
    <xf numFmtId="0" fontId="0" fillId="4" borderId="2"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xf numFmtId="0" fontId="0" fillId="4" borderId="11" xfId="0" applyFill="1" applyBorder="1"/>
    <xf numFmtId="0" fontId="0" fillId="4" borderId="10" xfId="0" applyFill="1" applyBorder="1"/>
    <xf numFmtId="0" fontId="37" fillId="23" borderId="9" xfId="0" applyFont="1" applyFill="1" applyBorder="1" applyAlignment="1">
      <alignment vertical="justify" wrapText="1"/>
    </xf>
    <xf numFmtId="0" fontId="37" fillId="23" borderId="11" xfId="0" applyFont="1" applyFill="1" applyBorder="1" applyAlignment="1">
      <alignment vertical="justify" wrapText="1"/>
    </xf>
    <xf numFmtId="0" fontId="37" fillId="23" borderId="10" xfId="0" applyFont="1" applyFill="1" applyBorder="1" applyAlignment="1">
      <alignment vertical="justify" wrapText="1"/>
    </xf>
    <xf numFmtId="0" fontId="0" fillId="0" borderId="2" xfId="0" applyBorder="1"/>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35" fillId="8" borderId="2"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19" fillId="4" borderId="2" xfId="0" applyFont="1" applyFill="1" applyBorder="1" applyAlignment="1">
      <alignment vertical="center" wrapText="1"/>
    </xf>
    <xf numFmtId="0" fontId="28" fillId="4" borderId="2" xfId="0" applyFont="1" applyFill="1" applyBorder="1" applyAlignment="1">
      <alignment horizontal="center" vertical="center" wrapText="1"/>
    </xf>
    <xf numFmtId="0" fontId="28" fillId="27" borderId="2" xfId="0" applyFont="1" applyFill="1" applyBorder="1" applyAlignment="1">
      <alignment horizontal="center" vertical="center" wrapText="1"/>
    </xf>
    <xf numFmtId="0" fontId="7" fillId="27" borderId="2" xfId="0" applyFont="1" applyFill="1" applyBorder="1" applyAlignment="1">
      <alignment horizontal="center"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38" fillId="14" borderId="2" xfId="0" applyFont="1" applyFill="1" applyBorder="1" applyAlignment="1">
      <alignment horizontal="right"/>
    </xf>
    <xf numFmtId="0" fontId="38" fillId="26" borderId="2" xfId="0" applyFont="1" applyFill="1" applyBorder="1" applyAlignment="1">
      <alignment horizontal="right"/>
    </xf>
    <xf numFmtId="0" fontId="38" fillId="26" borderId="2" xfId="0" applyFont="1" applyFill="1" applyBorder="1" applyAlignment="1">
      <alignment horizontal="center" vertical="center"/>
    </xf>
    <xf numFmtId="0" fontId="11" fillId="28" borderId="2" xfId="0" applyFont="1" applyFill="1" applyBorder="1" applyAlignment="1">
      <alignment horizontal="right" vertical="center"/>
    </xf>
    <xf numFmtId="0" fontId="11" fillId="28" borderId="9" xfId="0" applyFont="1" applyFill="1" applyBorder="1" applyAlignment="1">
      <alignment horizontal="center" vertical="center"/>
    </xf>
    <xf numFmtId="0" fontId="11" fillId="28" borderId="11" xfId="0" applyFont="1" applyFill="1" applyBorder="1" applyAlignment="1">
      <alignment horizontal="center" vertical="center"/>
    </xf>
    <xf numFmtId="0" fontId="11" fillId="28" borderId="10" xfId="0" applyFont="1" applyFill="1" applyBorder="1" applyAlignment="1">
      <alignment horizontal="center" vertical="center"/>
    </xf>
    <xf numFmtId="0" fontId="11" fillId="28" borderId="2" xfId="0" applyFont="1" applyFill="1" applyBorder="1" applyAlignment="1">
      <alignment horizontal="center" vertical="center"/>
    </xf>
    <xf numFmtId="0" fontId="10" fillId="0" borderId="9" xfId="0" applyFont="1" applyBorder="1" applyAlignment="1">
      <alignment horizontal="center"/>
    </xf>
    <xf numFmtId="0" fontId="10" fillId="0" borderId="11" xfId="0" applyFont="1" applyBorder="1" applyAlignment="1">
      <alignment horizontal="center"/>
    </xf>
    <xf numFmtId="0" fontId="10" fillId="0" borderId="10" xfId="0" applyFont="1" applyBorder="1" applyAlignment="1">
      <alignment horizontal="center"/>
    </xf>
    <xf numFmtId="0" fontId="10" fillId="10" borderId="13" xfId="0" applyFont="1" applyFill="1" applyBorder="1" applyAlignment="1">
      <alignment horizontal="center" vertical="center"/>
    </xf>
    <xf numFmtId="0" fontId="10" fillId="10" borderId="0" xfId="0" applyFont="1" applyFill="1" applyAlignment="1">
      <alignment horizontal="center" vertical="center"/>
    </xf>
    <xf numFmtId="0" fontId="10" fillId="10" borderId="14" xfId="0" applyFont="1" applyFill="1" applyBorder="1" applyAlignment="1">
      <alignment horizontal="center" vertical="center"/>
    </xf>
    <xf numFmtId="0" fontId="21" fillId="14" borderId="0" xfId="0" applyFont="1" applyFill="1"/>
    <xf numFmtId="0" fontId="10" fillId="10" borderId="2" xfId="0" applyFont="1" applyFill="1" applyBorder="1" applyAlignment="1">
      <alignment horizontal="center" vertical="center"/>
    </xf>
    <xf numFmtId="0" fontId="7" fillId="10" borderId="9" xfId="0" applyFont="1" applyFill="1" applyBorder="1" applyAlignment="1">
      <alignment horizontal="center" vertical="center"/>
    </xf>
    <xf numFmtId="0" fontId="7" fillId="10" borderId="11" xfId="0" applyFont="1" applyFill="1" applyBorder="1" applyAlignment="1">
      <alignment horizontal="center" vertical="center"/>
    </xf>
    <xf numFmtId="0" fontId="7" fillId="10" borderId="10"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7" xfId="0" applyFont="1" applyFill="1" applyBorder="1" applyAlignment="1">
      <alignment horizontal="center" vertical="center"/>
    </xf>
    <xf numFmtId="0" fontId="21" fillId="23" borderId="0" xfId="0" applyFont="1" applyFill="1"/>
    <xf numFmtId="0" fontId="0" fillId="33" borderId="2" xfId="0" applyFill="1" applyBorder="1" applyAlignment="1">
      <alignment horizontal="left" vertical="center"/>
    </xf>
    <xf numFmtId="0" fontId="0" fillId="33" borderId="9" xfId="0" applyFill="1" applyBorder="1" applyAlignment="1">
      <alignment horizontal="center" vertical="center"/>
    </xf>
    <xf numFmtId="0" fontId="0" fillId="33" borderId="11" xfId="0" applyFill="1" applyBorder="1" applyAlignment="1">
      <alignment horizontal="center" vertical="center"/>
    </xf>
    <xf numFmtId="0" fontId="0" fillId="33" borderId="10" xfId="0" applyFill="1" applyBorder="1" applyAlignment="1">
      <alignment horizontal="center" vertical="center"/>
    </xf>
    <xf numFmtId="0" fontId="0" fillId="33" borderId="2" xfId="0" applyFill="1" applyBorder="1" applyAlignment="1">
      <alignment horizontal="left" vertical="center" wrapText="1"/>
    </xf>
    <xf numFmtId="0" fontId="10" fillId="10" borderId="11" xfId="0" applyFont="1" applyFill="1" applyBorder="1" applyAlignment="1">
      <alignment horizontal="center" vertical="center" wrapText="1"/>
    </xf>
    <xf numFmtId="0" fontId="28" fillId="22" borderId="2" xfId="0" applyFont="1" applyFill="1" applyBorder="1" applyAlignment="1">
      <alignment horizontal="center" vertical="center" wrapText="1"/>
    </xf>
    <xf numFmtId="0" fontId="26" fillId="10" borderId="2" xfId="0" applyFont="1" applyFill="1" applyBorder="1" applyAlignment="1">
      <alignment horizontal="right"/>
    </xf>
    <xf numFmtId="0" fontId="0" fillId="7" borderId="2" xfId="0" applyFill="1" applyBorder="1"/>
    <xf numFmtId="0" fontId="1" fillId="10" borderId="9"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10" xfId="0" applyFont="1" applyFill="1" applyBorder="1" applyAlignment="1">
      <alignment horizontal="center" vertical="center"/>
    </xf>
    <xf numFmtId="0" fontId="0" fillId="10" borderId="2" xfId="0" applyFill="1" applyBorder="1" applyAlignment="1">
      <alignment vertical="center" wrapText="1"/>
    </xf>
    <xf numFmtId="0" fontId="48" fillId="10" borderId="2" xfId="0" applyFont="1" applyFill="1" applyBorder="1" applyAlignment="1">
      <alignment horizontal="center" vertical="center"/>
    </xf>
    <xf numFmtId="0" fontId="29" fillId="10" borderId="9"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29" fillId="10" borderId="10" xfId="0" applyFont="1" applyFill="1" applyBorder="1" applyAlignment="1">
      <alignment horizontal="center" vertical="center" wrapText="1"/>
    </xf>
    <xf numFmtId="14" fontId="0" fillId="0" borderId="2" xfId="0" applyNumberFormat="1" applyBorder="1"/>
    <xf numFmtId="0" fontId="1" fillId="10" borderId="2" xfId="0" applyFont="1" applyFill="1" applyBorder="1" applyAlignment="1">
      <alignment horizontal="center" vertical="center" wrapText="1"/>
    </xf>
    <xf numFmtId="0" fontId="26" fillId="10" borderId="9" xfId="0" applyFont="1" applyFill="1" applyBorder="1" applyAlignment="1">
      <alignment horizontal="center" vertical="center"/>
    </xf>
    <xf numFmtId="0" fontId="26" fillId="10" borderId="11" xfId="0" applyFont="1" applyFill="1" applyBorder="1" applyAlignment="1">
      <alignment horizontal="center" vertical="center"/>
    </xf>
    <xf numFmtId="0" fontId="26" fillId="10" borderId="10" xfId="0" applyFont="1" applyFill="1" applyBorder="1" applyAlignment="1">
      <alignment horizontal="center" vertical="center"/>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10" borderId="2" xfId="0" applyFill="1" applyBorder="1" applyAlignment="1">
      <alignment vertical="center"/>
    </xf>
    <xf numFmtId="0" fontId="0" fillId="10" borderId="2" xfId="0" applyFill="1" applyBorder="1" applyAlignment="1">
      <alignment horizontal="center" vertical="center" wrapText="1"/>
    </xf>
    <xf numFmtId="0" fontId="1" fillId="10" borderId="7" xfId="0" applyFont="1" applyFill="1" applyBorder="1" applyAlignment="1">
      <alignment horizontal="center" vertical="center"/>
    </xf>
    <xf numFmtId="0" fontId="10" fillId="10" borderId="2" xfId="0" applyFont="1" applyFill="1" applyBorder="1" applyAlignment="1">
      <alignment horizontal="right"/>
    </xf>
    <xf numFmtId="0" fontId="22" fillId="10" borderId="9" xfId="0" applyFont="1" applyFill="1" applyBorder="1" applyAlignment="1">
      <alignment horizontal="center" vertical="center"/>
    </xf>
    <xf numFmtId="0" fontId="22" fillId="10" borderId="11" xfId="0" applyFont="1" applyFill="1" applyBorder="1" applyAlignment="1">
      <alignment horizontal="center" vertical="center"/>
    </xf>
    <xf numFmtId="0" fontId="22" fillId="10" borderId="10" xfId="0" applyFont="1" applyFill="1" applyBorder="1" applyAlignment="1">
      <alignment horizontal="center" vertical="center"/>
    </xf>
    <xf numFmtId="0" fontId="22" fillId="10" borderId="9" xfId="0" applyFont="1" applyFill="1" applyBorder="1" applyAlignment="1">
      <alignment horizontal="center"/>
    </xf>
    <xf numFmtId="0" fontId="22" fillId="10" borderId="11" xfId="0" applyFont="1" applyFill="1" applyBorder="1" applyAlignment="1">
      <alignment horizontal="center"/>
    </xf>
    <xf numFmtId="0" fontId="22" fillId="10" borderId="10" xfId="0" applyFont="1" applyFill="1" applyBorder="1" applyAlignment="1">
      <alignment horizontal="center"/>
    </xf>
    <xf numFmtId="0" fontId="0" fillId="0" borderId="4" xfId="0" applyBorder="1"/>
    <xf numFmtId="0" fontId="21" fillId="36" borderId="0" xfId="0" applyFont="1" applyFill="1"/>
    <xf numFmtId="0" fontId="42" fillId="10" borderId="2" xfId="0" applyFont="1" applyFill="1" applyBorder="1" applyAlignment="1">
      <alignment horizontal="center" vertical="center"/>
    </xf>
    <xf numFmtId="0" fontId="23" fillId="10"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23" fillId="7" borderId="9" xfId="0" applyFont="1" applyFill="1" applyBorder="1"/>
    <xf numFmtId="0" fontId="23" fillId="7" borderId="11" xfId="0" applyFont="1" applyFill="1" applyBorder="1"/>
    <xf numFmtId="0" fontId="23" fillId="7" borderId="10" xfId="0" applyFont="1" applyFill="1" applyBorder="1"/>
    <xf numFmtId="0" fontId="31" fillId="7" borderId="9" xfId="0" applyFont="1" applyFill="1" applyBorder="1"/>
    <xf numFmtId="0" fontId="31" fillId="7" borderId="11" xfId="0" applyFont="1" applyFill="1" applyBorder="1"/>
    <xf numFmtId="0" fontId="31" fillId="7" borderId="10" xfId="0" applyFont="1" applyFill="1" applyBorder="1"/>
    <xf numFmtId="0" fontId="0" fillId="7" borderId="9" xfId="0" applyFill="1" applyBorder="1"/>
    <xf numFmtId="0" fontId="0" fillId="7" borderId="11" xfId="0" applyFill="1" applyBorder="1"/>
    <xf numFmtId="0" fontId="0" fillId="7" borderId="10" xfId="0" applyFill="1" applyBorder="1"/>
    <xf numFmtId="0" fontId="10" fillId="10" borderId="9" xfId="0" applyFont="1" applyFill="1" applyBorder="1" applyAlignment="1">
      <alignment horizontal="right"/>
    </xf>
    <xf numFmtId="0" fontId="10" fillId="10" borderId="11" xfId="0" applyFont="1" applyFill="1" applyBorder="1" applyAlignment="1">
      <alignment horizontal="right"/>
    </xf>
    <xf numFmtId="0" fontId="10" fillId="10" borderId="10" xfId="0" applyFont="1" applyFill="1" applyBorder="1" applyAlignment="1">
      <alignment horizontal="right"/>
    </xf>
    <xf numFmtId="0" fontId="10" fillId="10" borderId="9" xfId="0" applyFont="1" applyFill="1" applyBorder="1" applyAlignment="1">
      <alignment horizontal="center" vertical="center"/>
    </xf>
    <xf numFmtId="0" fontId="10" fillId="10" borderId="11" xfId="0" applyFont="1" applyFill="1" applyBorder="1" applyAlignment="1">
      <alignment horizontal="center" vertical="center"/>
    </xf>
    <xf numFmtId="0" fontId="10" fillId="10" borderId="10" xfId="0" applyFont="1" applyFill="1" applyBorder="1" applyAlignment="1">
      <alignment horizontal="center" vertical="center"/>
    </xf>
    <xf numFmtId="0" fontId="1" fillId="10" borderId="2" xfId="0" applyFont="1" applyFill="1" applyBorder="1" applyAlignment="1">
      <alignment horizontal="right"/>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10" xfId="0" applyFill="1" applyBorder="1" applyAlignment="1">
      <alignment horizontal="center" vertical="center"/>
    </xf>
    <xf numFmtId="0" fontId="31" fillId="10" borderId="9" xfId="0" applyFont="1" applyFill="1" applyBorder="1"/>
    <xf numFmtId="0" fontId="31" fillId="10" borderId="11" xfId="0" applyFont="1" applyFill="1" applyBorder="1"/>
    <xf numFmtId="0" fontId="31" fillId="10" borderId="10" xfId="0" applyFont="1" applyFill="1" applyBorder="1"/>
    <xf numFmtId="0" fontId="49" fillId="15" borderId="0" xfId="0" applyFont="1" applyFill="1"/>
    <xf numFmtId="0" fontId="0" fillId="10" borderId="2" xfId="0" applyFill="1" applyBorder="1"/>
    <xf numFmtId="0" fontId="0" fillId="10" borderId="9" xfId="0" applyFill="1" applyBorder="1"/>
    <xf numFmtId="0" fontId="0" fillId="10" borderId="11" xfId="0" applyFill="1" applyBorder="1"/>
    <xf numFmtId="0" fontId="0" fillId="10" borderId="10" xfId="0" applyFill="1" applyBorder="1"/>
    <xf numFmtId="0" fontId="33" fillId="0" borderId="2" xfId="0" applyFont="1" applyBorder="1" applyAlignment="1">
      <alignment vertical="center" wrapText="1"/>
    </xf>
  </cellXfs>
  <cellStyles count="7">
    <cellStyle name="20% - Accent4" xfId="2" builtinId="42"/>
    <cellStyle name="40% - Accent1" xfId="1" builtinId="31"/>
    <cellStyle name="40% - Accent4" xfId="3" builtinId="43"/>
    <cellStyle name="40% - Accent5" xfId="4" builtinId="47"/>
    <cellStyle name="Hyperlink" xfId="5" builtinId="8"/>
    <cellStyle name="Normal" xfId="0" builtinId="0"/>
    <cellStyle name="Normal 2" xfId="6" xr:uid="{115AAB0F-D4C8-4394-84B0-C06D954AFE02}"/>
  </cellStyles>
  <dxfs count="2">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D1F0"/>
      <color rgb="FFFFAFFD"/>
      <color rgb="FFFFFF99"/>
      <color rgb="FFFFE1FE"/>
      <color rgb="FF00518E"/>
      <color rgb="FFFFFFB7"/>
      <color rgb="FFFFD1FE"/>
      <color rgb="FFFF85FC"/>
      <color rgb="FFFFFFCC"/>
      <color rgb="FFFFC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1E5C-D3A0-4585-9FA2-50D7406C2A9F}">
  <sheetPr>
    <tabColor rgb="FF00B050"/>
  </sheetPr>
  <dimension ref="A1:AQ98"/>
  <sheetViews>
    <sheetView tabSelected="1" zoomScale="115" zoomScaleNormal="115" workbookViewId="0">
      <selection activeCell="A3" sqref="A3:AQ3"/>
    </sheetView>
  </sheetViews>
  <sheetFormatPr defaultRowHeight="15" x14ac:dyDescent="0.25"/>
  <cols>
    <col min="1" max="1" width="4.7109375" customWidth="1"/>
    <col min="2" max="2" width="17.42578125" customWidth="1"/>
    <col min="3" max="93" width="4.7109375" customWidth="1"/>
  </cols>
  <sheetData>
    <row r="1" spans="1:43" ht="18.75" x14ac:dyDescent="0.25">
      <c r="A1" s="109" t="s">
        <v>491</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row>
    <row r="2" spans="1:43" ht="15.75" x14ac:dyDescent="0.25">
      <c r="A2" s="125" t="s">
        <v>492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row>
    <row r="3" spans="1:43" ht="16.5" customHeight="1" x14ac:dyDescent="0.25">
      <c r="A3" s="110" t="s">
        <v>544</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row>
    <row r="4" spans="1:43" ht="15.75" customHeight="1" x14ac:dyDescent="0.25">
      <c r="A4" s="102" t="s">
        <v>541</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row>
    <row r="5" spans="1:43" ht="15.75" x14ac:dyDescent="0.25">
      <c r="A5" s="111" t="s">
        <v>536</v>
      </c>
      <c r="B5" s="112"/>
      <c r="C5" s="112"/>
      <c r="D5" s="112"/>
      <c r="E5" s="112"/>
      <c r="F5" s="112"/>
      <c r="G5" s="112"/>
      <c r="H5" s="112"/>
      <c r="I5" s="112"/>
      <c r="J5" s="112"/>
      <c r="K5" s="112"/>
      <c r="L5" s="112"/>
      <c r="M5" s="113"/>
      <c r="N5" s="120" t="s">
        <v>514</v>
      </c>
      <c r="O5" s="120"/>
      <c r="P5" s="120"/>
      <c r="Q5" s="120"/>
      <c r="R5" s="120"/>
      <c r="S5" s="120"/>
      <c r="T5" s="120"/>
      <c r="U5" s="120"/>
      <c r="V5" s="120"/>
      <c r="W5" s="120"/>
      <c r="X5" s="120"/>
      <c r="Y5" s="120"/>
      <c r="Z5" s="1"/>
      <c r="AA5" s="121" t="s">
        <v>1</v>
      </c>
      <c r="AB5" s="121"/>
      <c r="AC5" s="121"/>
      <c r="AD5" s="121"/>
      <c r="AE5" s="121"/>
      <c r="AF5" s="120"/>
      <c r="AG5" s="120"/>
      <c r="AH5" s="120"/>
      <c r="AI5" s="120"/>
      <c r="AJ5" s="120"/>
      <c r="AK5" s="120"/>
      <c r="AL5" s="120"/>
      <c r="AM5" s="120"/>
      <c r="AN5" s="120"/>
      <c r="AO5" s="120"/>
      <c r="AP5" s="120"/>
      <c r="AQ5" s="120"/>
    </row>
    <row r="6" spans="1:43" ht="15.75" x14ac:dyDescent="0.25">
      <c r="A6" s="111" t="s">
        <v>537</v>
      </c>
      <c r="B6" s="112"/>
      <c r="C6" s="112"/>
      <c r="D6" s="112"/>
      <c r="E6" s="112"/>
      <c r="F6" s="112"/>
      <c r="G6" s="112"/>
      <c r="H6" s="112"/>
      <c r="I6" s="112"/>
      <c r="J6" s="112"/>
      <c r="K6" s="112"/>
      <c r="L6" s="112"/>
      <c r="M6" s="113"/>
      <c r="N6" s="91"/>
      <c r="O6" s="91"/>
      <c r="P6" s="91"/>
      <c r="Q6" s="91"/>
      <c r="R6" s="91"/>
      <c r="S6" s="91"/>
      <c r="T6" s="91"/>
      <c r="U6" s="91"/>
      <c r="V6" s="91"/>
      <c r="W6" s="91"/>
      <c r="X6" s="91"/>
      <c r="Y6" s="91"/>
      <c r="Z6" s="2"/>
      <c r="AA6" s="122" t="s">
        <v>3</v>
      </c>
      <c r="AB6" s="122"/>
      <c r="AC6" s="122"/>
      <c r="AD6" s="122"/>
      <c r="AE6" s="122"/>
      <c r="AF6" s="123"/>
      <c r="AG6" s="123"/>
      <c r="AH6" s="123"/>
      <c r="AI6" s="123"/>
      <c r="AJ6" s="123"/>
      <c r="AK6" s="123"/>
      <c r="AL6" s="123"/>
      <c r="AM6" s="123"/>
      <c r="AN6" s="123"/>
      <c r="AO6" s="123"/>
      <c r="AP6" s="123"/>
      <c r="AQ6" s="123"/>
    </row>
    <row r="7" spans="1:43" ht="15.75" x14ac:dyDescent="0.25">
      <c r="A7" s="114" t="s">
        <v>4</v>
      </c>
      <c r="B7" s="115"/>
      <c r="C7" s="115"/>
      <c r="D7" s="115"/>
      <c r="E7" s="115"/>
      <c r="F7" s="115"/>
      <c r="G7" s="115"/>
      <c r="H7" s="115"/>
      <c r="I7" s="115"/>
      <c r="J7" s="115"/>
      <c r="K7" s="115"/>
      <c r="L7" s="115"/>
      <c r="M7" s="116"/>
      <c r="N7" s="124"/>
      <c r="O7" s="124"/>
      <c r="P7" s="124"/>
      <c r="Q7" s="124"/>
      <c r="R7" s="124"/>
      <c r="S7" s="124"/>
      <c r="T7" s="124"/>
      <c r="U7" s="124"/>
      <c r="V7" s="124"/>
      <c r="W7" s="124"/>
      <c r="X7" s="124"/>
      <c r="Y7" s="124"/>
      <c r="Z7" s="2"/>
      <c r="AA7" s="90" t="s">
        <v>277</v>
      </c>
      <c r="AB7" s="90"/>
      <c r="AC7" s="90"/>
      <c r="AD7" s="90"/>
      <c r="AE7" s="90"/>
      <c r="AF7" s="91"/>
      <c r="AG7" s="91"/>
      <c r="AH7" s="91"/>
      <c r="AI7" s="91"/>
      <c r="AJ7" s="91"/>
      <c r="AK7" s="91"/>
      <c r="AL7" s="91"/>
      <c r="AM7" s="91"/>
      <c r="AN7" s="91"/>
      <c r="AO7" s="91"/>
      <c r="AP7" s="91"/>
      <c r="AQ7" s="91"/>
    </row>
    <row r="8" spans="1:43" ht="15.75" x14ac:dyDescent="0.25">
      <c r="A8" s="117"/>
      <c r="B8" s="118"/>
      <c r="C8" s="118"/>
      <c r="D8" s="118"/>
      <c r="E8" s="118"/>
      <c r="F8" s="118"/>
      <c r="G8" s="118"/>
      <c r="H8" s="118"/>
      <c r="I8" s="118"/>
      <c r="J8" s="118"/>
      <c r="K8" s="118"/>
      <c r="L8" s="118"/>
      <c r="M8" s="119"/>
      <c r="N8" s="124"/>
      <c r="O8" s="124"/>
      <c r="P8" s="124"/>
      <c r="Q8" s="124"/>
      <c r="R8" s="124"/>
      <c r="S8" s="124"/>
      <c r="T8" s="124"/>
      <c r="U8" s="124"/>
      <c r="V8" s="124"/>
      <c r="W8" s="124"/>
      <c r="X8" s="124"/>
      <c r="Y8" s="124"/>
      <c r="Z8" s="2"/>
      <c r="AA8" s="90" t="s">
        <v>5</v>
      </c>
      <c r="AB8" s="90"/>
      <c r="AC8" s="90"/>
      <c r="AD8" s="90"/>
      <c r="AE8" s="90"/>
      <c r="AF8" s="91"/>
      <c r="AG8" s="91"/>
      <c r="AH8" s="91"/>
      <c r="AI8" s="91"/>
      <c r="AJ8" s="91"/>
      <c r="AK8" s="91"/>
      <c r="AL8" s="91"/>
      <c r="AM8" s="91"/>
      <c r="AN8" s="91"/>
      <c r="AO8" s="91"/>
      <c r="AP8" s="91"/>
      <c r="AQ8" s="91"/>
    </row>
    <row r="9" spans="1:43" ht="15.75" x14ac:dyDescent="0.25">
      <c r="A9" s="95" t="s">
        <v>538</v>
      </c>
      <c r="B9" s="96"/>
      <c r="C9" s="96"/>
      <c r="D9" s="96"/>
      <c r="E9" s="96"/>
      <c r="F9" s="96"/>
      <c r="G9" s="96"/>
      <c r="H9" s="96"/>
      <c r="I9" s="96"/>
      <c r="J9" s="96"/>
      <c r="K9" s="96"/>
      <c r="L9" s="96"/>
      <c r="M9" s="97"/>
      <c r="N9" s="92" t="s">
        <v>11</v>
      </c>
      <c r="O9" s="92"/>
      <c r="P9" s="92"/>
      <c r="Q9" s="92"/>
      <c r="R9" s="92"/>
      <c r="S9" s="92"/>
      <c r="T9" s="92"/>
      <c r="U9" s="92"/>
      <c r="V9" s="92">
        <v>2024</v>
      </c>
      <c r="W9" s="92"/>
      <c r="X9" s="92"/>
      <c r="Y9" s="92"/>
      <c r="Z9" s="2"/>
      <c r="AA9" s="93" t="s">
        <v>8</v>
      </c>
      <c r="AB9" s="93"/>
      <c r="AC9" s="93"/>
      <c r="AD9" s="93"/>
      <c r="AE9" s="93"/>
      <c r="AF9" s="94"/>
      <c r="AG9" s="94"/>
      <c r="AH9" s="94"/>
      <c r="AI9" s="94"/>
      <c r="AJ9" s="94"/>
      <c r="AK9" s="94"/>
      <c r="AL9" s="94"/>
      <c r="AM9" s="94"/>
      <c r="AN9" s="94"/>
      <c r="AO9" s="94"/>
      <c r="AP9" s="94"/>
      <c r="AQ9" s="94"/>
    </row>
    <row r="10" spans="1:43" ht="30" customHeight="1" x14ac:dyDescent="0.25">
      <c r="A10" s="102" t="s">
        <v>542</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7"/>
      <c r="AP10" s="17"/>
      <c r="AQ10" s="17"/>
    </row>
    <row r="11" spans="1:43" ht="30" customHeight="1" x14ac:dyDescent="0.25">
      <c r="A11" s="104" t="s">
        <v>278</v>
      </c>
      <c r="B11" s="105"/>
      <c r="C11" s="149" t="s">
        <v>307</v>
      </c>
      <c r="D11" s="150"/>
      <c r="E11" s="150"/>
      <c r="F11" s="150"/>
      <c r="G11" s="150"/>
      <c r="H11" s="150"/>
      <c r="I11" s="150"/>
      <c r="J11" s="150"/>
      <c r="K11" s="151"/>
      <c r="L11" s="141" t="s">
        <v>480</v>
      </c>
      <c r="M11" s="142"/>
      <c r="N11" s="142"/>
      <c r="O11" s="142"/>
      <c r="P11" s="143"/>
      <c r="Q11" s="106" t="s">
        <v>479</v>
      </c>
      <c r="R11" s="106"/>
      <c r="S11" s="106"/>
      <c r="T11" s="106"/>
      <c r="U11" s="106"/>
      <c r="V11" s="106"/>
      <c r="W11" s="104" t="s">
        <v>278</v>
      </c>
      <c r="X11" s="105"/>
      <c r="Y11" s="144" t="s">
        <v>307</v>
      </c>
      <c r="Z11" s="145"/>
      <c r="AA11" s="145"/>
      <c r="AB11" s="145"/>
      <c r="AC11" s="145"/>
      <c r="AD11" s="145"/>
      <c r="AE11" s="145"/>
      <c r="AF11" s="145"/>
      <c r="AG11" s="106" t="s">
        <v>480</v>
      </c>
      <c r="AH11" s="106"/>
      <c r="AI11" s="106"/>
      <c r="AJ11" s="106"/>
      <c r="AK11" s="106"/>
      <c r="AL11" s="106" t="s">
        <v>479</v>
      </c>
      <c r="AM11" s="106"/>
      <c r="AN11" s="106"/>
      <c r="AO11" s="106"/>
      <c r="AP11" s="106"/>
      <c r="AQ11" s="106"/>
    </row>
    <row r="12" spans="1:43" ht="15.75" x14ac:dyDescent="0.25">
      <c r="A12" s="107">
        <v>1</v>
      </c>
      <c r="B12" s="108"/>
      <c r="C12" s="146"/>
      <c r="D12" s="147"/>
      <c r="E12" s="147"/>
      <c r="F12" s="147"/>
      <c r="G12" s="147"/>
      <c r="H12" s="147"/>
      <c r="I12" s="147"/>
      <c r="J12" s="147"/>
      <c r="K12" s="148"/>
      <c r="L12" s="132"/>
      <c r="M12" s="133"/>
      <c r="N12" s="133"/>
      <c r="O12" s="133"/>
      <c r="P12" s="134"/>
      <c r="Q12" s="126"/>
      <c r="R12" s="126"/>
      <c r="S12" s="126"/>
      <c r="T12" s="126"/>
      <c r="U12" s="126"/>
      <c r="V12" s="126"/>
      <c r="W12" s="127">
        <v>9</v>
      </c>
      <c r="X12" s="128"/>
      <c r="Y12" s="146"/>
      <c r="Z12" s="147"/>
      <c r="AA12" s="147"/>
      <c r="AB12" s="147"/>
      <c r="AC12" s="147"/>
      <c r="AD12" s="147"/>
      <c r="AE12" s="147"/>
      <c r="AF12" s="148"/>
      <c r="AG12" s="126"/>
      <c r="AH12" s="126"/>
      <c r="AI12" s="126"/>
      <c r="AJ12" s="126"/>
      <c r="AK12" s="126"/>
      <c r="AL12" s="126"/>
      <c r="AM12" s="126"/>
      <c r="AN12" s="126"/>
      <c r="AO12" s="126"/>
      <c r="AP12" s="126"/>
      <c r="AQ12" s="126"/>
    </row>
    <row r="13" spans="1:43" ht="15.75" x14ac:dyDescent="0.25">
      <c r="A13" s="107">
        <v>2</v>
      </c>
      <c r="B13" s="108"/>
      <c r="C13" s="146"/>
      <c r="D13" s="147"/>
      <c r="E13" s="147"/>
      <c r="F13" s="147"/>
      <c r="G13" s="147"/>
      <c r="H13" s="147"/>
      <c r="I13" s="147"/>
      <c r="J13" s="147"/>
      <c r="K13" s="148"/>
      <c r="L13" s="132"/>
      <c r="M13" s="133"/>
      <c r="N13" s="133"/>
      <c r="O13" s="133"/>
      <c r="P13" s="134"/>
      <c r="Q13" s="126"/>
      <c r="R13" s="126"/>
      <c r="S13" s="126"/>
      <c r="T13" s="126"/>
      <c r="U13" s="126"/>
      <c r="V13" s="126"/>
      <c r="W13" s="130">
        <v>10</v>
      </c>
      <c r="X13" s="131"/>
      <c r="Y13" s="135"/>
      <c r="Z13" s="136"/>
      <c r="AA13" s="136"/>
      <c r="AB13" s="136"/>
      <c r="AC13" s="136"/>
      <c r="AD13" s="136"/>
      <c r="AE13" s="136"/>
      <c r="AF13" s="137"/>
      <c r="AG13" s="129"/>
      <c r="AH13" s="129"/>
      <c r="AI13" s="129"/>
      <c r="AJ13" s="129"/>
      <c r="AK13" s="129"/>
      <c r="AL13" s="129"/>
      <c r="AM13" s="129"/>
      <c r="AN13" s="129"/>
      <c r="AO13" s="129"/>
      <c r="AP13" s="129"/>
      <c r="AQ13" s="129"/>
    </row>
    <row r="14" spans="1:43" ht="15.75" x14ac:dyDescent="0.25">
      <c r="A14" s="107">
        <v>3</v>
      </c>
      <c r="B14" s="108"/>
      <c r="C14" s="146"/>
      <c r="D14" s="147"/>
      <c r="E14" s="147"/>
      <c r="F14" s="147"/>
      <c r="G14" s="147"/>
      <c r="H14" s="147"/>
      <c r="I14" s="147"/>
      <c r="J14" s="147"/>
      <c r="K14" s="148"/>
      <c r="L14" s="132"/>
      <c r="M14" s="133"/>
      <c r="N14" s="133"/>
      <c r="O14" s="133"/>
      <c r="P14" s="134"/>
      <c r="Q14" s="126"/>
      <c r="R14" s="126"/>
      <c r="S14" s="126"/>
      <c r="T14" s="126"/>
      <c r="U14" s="126"/>
      <c r="V14" s="126"/>
      <c r="W14" s="130">
        <v>11</v>
      </c>
      <c r="X14" s="131"/>
      <c r="Y14" s="135"/>
      <c r="Z14" s="136"/>
      <c r="AA14" s="136"/>
      <c r="AB14" s="136"/>
      <c r="AC14" s="136"/>
      <c r="AD14" s="136"/>
      <c r="AE14" s="136"/>
      <c r="AF14" s="137"/>
      <c r="AG14" s="129"/>
      <c r="AH14" s="129"/>
      <c r="AI14" s="129"/>
      <c r="AJ14" s="129"/>
      <c r="AK14" s="129"/>
      <c r="AL14" s="129"/>
      <c r="AM14" s="129"/>
      <c r="AN14" s="129"/>
      <c r="AO14" s="129"/>
      <c r="AP14" s="129"/>
      <c r="AQ14" s="129"/>
    </row>
    <row r="15" spans="1:43" ht="15.75" x14ac:dyDescent="0.25">
      <c r="A15" s="107">
        <v>4</v>
      </c>
      <c r="B15" s="108"/>
      <c r="C15" s="146"/>
      <c r="D15" s="147"/>
      <c r="E15" s="147"/>
      <c r="F15" s="147"/>
      <c r="G15" s="147"/>
      <c r="H15" s="147"/>
      <c r="I15" s="147"/>
      <c r="J15" s="147"/>
      <c r="K15" s="148"/>
      <c r="L15" s="132"/>
      <c r="M15" s="133"/>
      <c r="N15" s="133"/>
      <c r="O15" s="133"/>
      <c r="P15" s="134"/>
      <c r="Q15" s="126"/>
      <c r="R15" s="126"/>
      <c r="S15" s="126"/>
      <c r="T15" s="126"/>
      <c r="U15" s="126"/>
      <c r="V15" s="126"/>
      <c r="W15" s="127">
        <v>12</v>
      </c>
      <c r="X15" s="128"/>
      <c r="Y15" s="135"/>
      <c r="Z15" s="136"/>
      <c r="AA15" s="136"/>
      <c r="AB15" s="136"/>
      <c r="AC15" s="136"/>
      <c r="AD15" s="136"/>
      <c r="AE15" s="136"/>
      <c r="AF15" s="137"/>
      <c r="AG15" s="129"/>
      <c r="AH15" s="129"/>
      <c r="AI15" s="129"/>
      <c r="AJ15" s="129"/>
      <c r="AK15" s="129"/>
      <c r="AL15" s="129"/>
      <c r="AM15" s="129"/>
      <c r="AN15" s="129"/>
      <c r="AO15" s="129"/>
      <c r="AP15" s="129"/>
      <c r="AQ15" s="129"/>
    </row>
    <row r="16" spans="1:43" ht="15.75" x14ac:dyDescent="0.25">
      <c r="A16" s="107">
        <v>5</v>
      </c>
      <c r="B16" s="108"/>
      <c r="C16" s="146"/>
      <c r="D16" s="147"/>
      <c r="E16" s="147"/>
      <c r="F16" s="147"/>
      <c r="G16" s="147"/>
      <c r="H16" s="147"/>
      <c r="I16" s="147"/>
      <c r="J16" s="147"/>
      <c r="K16" s="148"/>
      <c r="L16" s="132"/>
      <c r="M16" s="133"/>
      <c r="N16" s="133"/>
      <c r="O16" s="133"/>
      <c r="P16" s="134"/>
      <c r="Q16" s="126"/>
      <c r="R16" s="126"/>
      <c r="S16" s="126"/>
      <c r="T16" s="126"/>
      <c r="U16" s="126"/>
      <c r="V16" s="126"/>
      <c r="W16" s="127">
        <v>13</v>
      </c>
      <c r="X16" s="128"/>
      <c r="Y16" s="135"/>
      <c r="Z16" s="136"/>
      <c r="AA16" s="136"/>
      <c r="AB16" s="136"/>
      <c r="AC16" s="136"/>
      <c r="AD16" s="136"/>
      <c r="AE16" s="136"/>
      <c r="AF16" s="137"/>
      <c r="AG16" s="129"/>
      <c r="AH16" s="129"/>
      <c r="AI16" s="129"/>
      <c r="AJ16" s="129"/>
      <c r="AK16" s="129"/>
      <c r="AL16" s="129"/>
      <c r="AM16" s="129"/>
      <c r="AN16" s="129"/>
      <c r="AO16" s="129"/>
      <c r="AP16" s="129"/>
      <c r="AQ16" s="129"/>
    </row>
    <row r="17" spans="1:43" ht="15.75" x14ac:dyDescent="0.25">
      <c r="A17" s="107">
        <v>6</v>
      </c>
      <c r="B17" s="108"/>
      <c r="C17" s="146"/>
      <c r="D17" s="147"/>
      <c r="E17" s="147"/>
      <c r="F17" s="147"/>
      <c r="G17" s="147"/>
      <c r="H17" s="147"/>
      <c r="I17" s="147"/>
      <c r="J17" s="147"/>
      <c r="K17" s="148"/>
      <c r="L17" s="132"/>
      <c r="M17" s="133"/>
      <c r="N17" s="133"/>
      <c r="O17" s="133"/>
      <c r="P17" s="134"/>
      <c r="Q17" s="126"/>
      <c r="R17" s="126"/>
      <c r="S17" s="126"/>
      <c r="T17" s="126"/>
      <c r="U17" s="126"/>
      <c r="V17" s="126"/>
      <c r="W17" s="127">
        <v>14</v>
      </c>
      <c r="X17" s="128"/>
      <c r="Y17" s="135"/>
      <c r="Z17" s="136"/>
      <c r="AA17" s="136"/>
      <c r="AB17" s="136"/>
      <c r="AC17" s="136"/>
      <c r="AD17" s="136"/>
      <c r="AE17" s="136"/>
      <c r="AF17" s="137"/>
      <c r="AG17" s="129"/>
      <c r="AH17" s="129"/>
      <c r="AI17" s="129"/>
      <c r="AJ17" s="129"/>
      <c r="AK17" s="129"/>
      <c r="AL17" s="129"/>
      <c r="AM17" s="129"/>
      <c r="AN17" s="129"/>
      <c r="AO17" s="129"/>
      <c r="AP17" s="129"/>
      <c r="AQ17" s="129"/>
    </row>
    <row r="18" spans="1:43" ht="15.75" x14ac:dyDescent="0.25">
      <c r="A18" s="107">
        <v>7</v>
      </c>
      <c r="B18" s="108"/>
      <c r="C18" s="146"/>
      <c r="D18" s="147"/>
      <c r="E18" s="147"/>
      <c r="F18" s="147"/>
      <c r="G18" s="147"/>
      <c r="H18" s="147"/>
      <c r="I18" s="147"/>
      <c r="J18" s="147"/>
      <c r="K18" s="148"/>
      <c r="L18" s="132"/>
      <c r="M18" s="133"/>
      <c r="N18" s="133"/>
      <c r="O18" s="133"/>
      <c r="P18" s="134"/>
      <c r="Q18" s="126"/>
      <c r="R18" s="126"/>
      <c r="S18" s="126"/>
      <c r="T18" s="126"/>
      <c r="U18" s="126"/>
      <c r="V18" s="126"/>
      <c r="W18" s="127">
        <v>15</v>
      </c>
      <c r="X18" s="128"/>
      <c r="Y18" s="135"/>
      <c r="Z18" s="136"/>
      <c r="AA18" s="136"/>
      <c r="AB18" s="136"/>
      <c r="AC18" s="136"/>
      <c r="AD18" s="136"/>
      <c r="AE18" s="136"/>
      <c r="AF18" s="137"/>
      <c r="AG18" s="129"/>
      <c r="AH18" s="129"/>
      <c r="AI18" s="129"/>
      <c r="AJ18" s="129"/>
      <c r="AK18" s="129"/>
      <c r="AL18" s="129"/>
      <c r="AM18" s="129"/>
      <c r="AN18" s="129"/>
      <c r="AO18" s="129"/>
      <c r="AP18" s="129"/>
      <c r="AQ18" s="129"/>
    </row>
    <row r="19" spans="1:43" ht="15.75" x14ac:dyDescent="0.25">
      <c r="A19" s="107">
        <v>8</v>
      </c>
      <c r="B19" s="108"/>
      <c r="C19" s="146"/>
      <c r="D19" s="147"/>
      <c r="E19" s="147"/>
      <c r="F19" s="147"/>
      <c r="G19" s="147"/>
      <c r="H19" s="147"/>
      <c r="I19" s="147"/>
      <c r="J19" s="147"/>
      <c r="K19" s="148"/>
      <c r="L19" s="132"/>
      <c r="M19" s="133"/>
      <c r="N19" s="133"/>
      <c r="O19" s="133"/>
      <c r="P19" s="134"/>
      <c r="Q19" s="126"/>
      <c r="R19" s="126"/>
      <c r="S19" s="126"/>
      <c r="T19" s="126"/>
      <c r="U19" s="126"/>
      <c r="V19" s="126"/>
      <c r="W19" s="127">
        <v>16</v>
      </c>
      <c r="X19" s="128"/>
      <c r="Y19" s="135"/>
      <c r="Z19" s="136"/>
      <c r="AA19" s="136"/>
      <c r="AB19" s="136"/>
      <c r="AC19" s="136"/>
      <c r="AD19" s="136"/>
      <c r="AE19" s="136"/>
      <c r="AF19" s="137"/>
      <c r="AG19" s="129"/>
      <c r="AH19" s="129"/>
      <c r="AI19" s="129"/>
      <c r="AJ19" s="129"/>
      <c r="AK19" s="129"/>
      <c r="AL19" s="129"/>
      <c r="AM19" s="129"/>
      <c r="AN19" s="129"/>
      <c r="AO19" s="129"/>
      <c r="AP19" s="129"/>
      <c r="AQ19" s="129"/>
    </row>
    <row r="20" spans="1:43" ht="30" customHeight="1" x14ac:dyDescent="0.25">
      <c r="A20" s="102" t="s">
        <v>308</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7"/>
      <c r="AP20" s="17"/>
      <c r="AQ20" s="17"/>
    </row>
    <row r="21" spans="1:43" ht="57.75" customHeight="1" x14ac:dyDescent="0.25">
      <c r="A21" s="100" t="s">
        <v>279</v>
      </c>
      <c r="B21" s="101"/>
      <c r="C21" s="84" t="s">
        <v>543</v>
      </c>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6"/>
    </row>
    <row r="22" spans="1:43" x14ac:dyDescent="0.25">
      <c r="A22" s="98" t="s">
        <v>539</v>
      </c>
      <c r="B22" s="99"/>
      <c r="C22" s="87"/>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9"/>
    </row>
    <row r="23" spans="1:43" x14ac:dyDescent="0.25">
      <c r="A23" s="98"/>
      <c r="B23" s="99"/>
      <c r="C23" s="87"/>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9"/>
    </row>
    <row r="24" spans="1:43" x14ac:dyDescent="0.25">
      <c r="A24" s="98"/>
      <c r="B24" s="99"/>
      <c r="C24" s="87"/>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9"/>
    </row>
    <row r="25" spans="1:43" x14ac:dyDescent="0.25">
      <c r="A25" s="98"/>
      <c r="B25" s="99"/>
      <c r="C25" s="87"/>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9"/>
    </row>
    <row r="26" spans="1:43" ht="30" customHeight="1" x14ac:dyDescent="0.25">
      <c r="A26" s="98"/>
      <c r="B26" s="99"/>
      <c r="C26" s="87"/>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9"/>
    </row>
    <row r="27" spans="1:43" ht="45" customHeight="1" x14ac:dyDescent="0.25">
      <c r="A27" s="82" t="s">
        <v>524</v>
      </c>
      <c r="B27" s="83"/>
      <c r="C27" s="84" t="s">
        <v>543</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6"/>
    </row>
    <row r="28" spans="1:43" x14ac:dyDescent="0.25">
      <c r="A28" s="82"/>
      <c r="B28" s="83"/>
      <c r="C28" s="87"/>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9"/>
    </row>
    <row r="29" spans="1:43" x14ac:dyDescent="0.25">
      <c r="A29" s="82"/>
      <c r="B29" s="83"/>
      <c r="C29" s="87"/>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9"/>
    </row>
    <row r="30" spans="1:43" x14ac:dyDescent="0.25">
      <c r="A30" s="82"/>
      <c r="B30" s="83"/>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9"/>
    </row>
    <row r="31" spans="1:43" x14ac:dyDescent="0.25">
      <c r="A31" s="82"/>
      <c r="B31" s="83"/>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9"/>
    </row>
    <row r="32" spans="1:43" ht="30" customHeight="1" x14ac:dyDescent="0.25">
      <c r="A32" s="82"/>
      <c r="B32" s="83"/>
      <c r="C32" s="87"/>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9"/>
    </row>
    <row r="33" spans="1:43" ht="45" customHeight="1" x14ac:dyDescent="0.25">
      <c r="A33" s="82" t="s">
        <v>525</v>
      </c>
      <c r="B33" s="83"/>
      <c r="C33" s="84" t="s">
        <v>543</v>
      </c>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6"/>
    </row>
    <row r="34" spans="1:43" x14ac:dyDescent="0.25">
      <c r="A34" s="82"/>
      <c r="B34" s="83"/>
      <c r="C34" s="87"/>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9"/>
    </row>
    <row r="35" spans="1:43" x14ac:dyDescent="0.25">
      <c r="A35" s="82"/>
      <c r="B35" s="83"/>
      <c r="C35" s="87"/>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9"/>
    </row>
    <row r="36" spans="1:43" x14ac:dyDescent="0.25">
      <c r="A36" s="82"/>
      <c r="B36" s="83"/>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9"/>
    </row>
    <row r="37" spans="1:43" x14ac:dyDescent="0.25">
      <c r="A37" s="82"/>
      <c r="B37" s="83"/>
      <c r="C37" s="87"/>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9"/>
    </row>
    <row r="38" spans="1:43" ht="30" customHeight="1" x14ac:dyDescent="0.25">
      <c r="A38" s="82"/>
      <c r="B38" s="83"/>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9"/>
    </row>
    <row r="39" spans="1:43" ht="45" customHeight="1" x14ac:dyDescent="0.25">
      <c r="A39" s="82" t="s">
        <v>526</v>
      </c>
      <c r="B39" s="83"/>
      <c r="C39" s="84" t="s">
        <v>543</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6"/>
    </row>
    <row r="40" spans="1:43" x14ac:dyDescent="0.25">
      <c r="A40" s="82"/>
      <c r="B40" s="83"/>
      <c r="C40" s="87"/>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9"/>
    </row>
    <row r="41" spans="1:43" x14ac:dyDescent="0.25">
      <c r="A41" s="82"/>
      <c r="B41" s="83"/>
      <c r="C41" s="87"/>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9"/>
    </row>
    <row r="42" spans="1:43" x14ac:dyDescent="0.25">
      <c r="A42" s="82"/>
      <c r="B42" s="83"/>
      <c r="C42" s="87"/>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9"/>
    </row>
    <row r="43" spans="1:43" x14ac:dyDescent="0.25">
      <c r="A43" s="82"/>
      <c r="B43" s="83"/>
      <c r="C43" s="87"/>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9"/>
    </row>
    <row r="44" spans="1:43" ht="30" customHeight="1" x14ac:dyDescent="0.25">
      <c r="A44" s="82"/>
      <c r="B44" s="83"/>
      <c r="C44" s="87"/>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9"/>
    </row>
    <row r="45" spans="1:43" ht="45" customHeight="1" x14ac:dyDescent="0.25">
      <c r="A45" s="82" t="s">
        <v>527</v>
      </c>
      <c r="B45" s="83"/>
      <c r="C45" s="84" t="s">
        <v>543</v>
      </c>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6"/>
    </row>
    <row r="46" spans="1:43" x14ac:dyDescent="0.25">
      <c r="A46" s="82"/>
      <c r="B46" s="83"/>
      <c r="C46" s="87"/>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9"/>
    </row>
    <row r="47" spans="1:43" x14ac:dyDescent="0.25">
      <c r="A47" s="82"/>
      <c r="B47" s="83"/>
      <c r="C47" s="87"/>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9"/>
    </row>
    <row r="48" spans="1:43" x14ac:dyDescent="0.25">
      <c r="A48" s="82"/>
      <c r="B48" s="83"/>
      <c r="C48" s="87"/>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9"/>
    </row>
    <row r="49" spans="1:43" x14ac:dyDescent="0.25">
      <c r="A49" s="82"/>
      <c r="B49" s="83"/>
      <c r="C49" s="87"/>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9"/>
    </row>
    <row r="50" spans="1:43" ht="30" customHeight="1" x14ac:dyDescent="0.25">
      <c r="A50" s="82"/>
      <c r="B50" s="83"/>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9"/>
    </row>
    <row r="51" spans="1:43" ht="45" customHeight="1" x14ac:dyDescent="0.25">
      <c r="A51" s="82" t="s">
        <v>528</v>
      </c>
      <c r="B51" s="83"/>
      <c r="C51" s="84" t="s">
        <v>543</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6"/>
    </row>
    <row r="52" spans="1:43" x14ac:dyDescent="0.25">
      <c r="A52" s="82"/>
      <c r="B52" s="83"/>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9"/>
    </row>
    <row r="53" spans="1:43" x14ac:dyDescent="0.25">
      <c r="A53" s="82"/>
      <c r="B53" s="83"/>
      <c r="C53" s="87"/>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9"/>
    </row>
    <row r="54" spans="1:43" x14ac:dyDescent="0.25">
      <c r="A54" s="82"/>
      <c r="B54" s="83"/>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9"/>
    </row>
    <row r="55" spans="1:43" x14ac:dyDescent="0.25">
      <c r="A55" s="82"/>
      <c r="B55" s="83"/>
      <c r="C55" s="87"/>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9"/>
    </row>
    <row r="56" spans="1:43" ht="30" customHeight="1" x14ac:dyDescent="0.25">
      <c r="A56" s="82"/>
      <c r="B56" s="83"/>
      <c r="C56" s="87"/>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9"/>
    </row>
    <row r="57" spans="1:43" ht="45" customHeight="1" x14ac:dyDescent="0.25">
      <c r="A57" s="82" t="s">
        <v>529</v>
      </c>
      <c r="B57" s="83"/>
      <c r="C57" s="84" t="s">
        <v>543</v>
      </c>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6"/>
    </row>
    <row r="58" spans="1:43" x14ac:dyDescent="0.25">
      <c r="A58" s="82"/>
      <c r="B58" s="83"/>
      <c r="C58" s="87"/>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9"/>
    </row>
    <row r="59" spans="1:43" x14ac:dyDescent="0.25">
      <c r="A59" s="82"/>
      <c r="B59" s="83"/>
      <c r="C59" s="87"/>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9"/>
    </row>
    <row r="60" spans="1:43" x14ac:dyDescent="0.25">
      <c r="A60" s="82"/>
      <c r="B60" s="83"/>
      <c r="C60" s="87"/>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9"/>
    </row>
    <row r="61" spans="1:43" x14ac:dyDescent="0.25">
      <c r="A61" s="82"/>
      <c r="B61" s="83"/>
      <c r="C61" s="87"/>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9"/>
    </row>
    <row r="62" spans="1:43" ht="30" customHeight="1" x14ac:dyDescent="0.25">
      <c r="A62" s="82"/>
      <c r="B62" s="83"/>
      <c r="C62" s="87"/>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9"/>
    </row>
    <row r="63" spans="1:43" ht="45" customHeight="1" x14ac:dyDescent="0.25">
      <c r="A63" s="82" t="s">
        <v>530</v>
      </c>
      <c r="B63" s="83"/>
      <c r="C63" s="84" t="s">
        <v>543</v>
      </c>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6"/>
    </row>
    <row r="64" spans="1:43" x14ac:dyDescent="0.25">
      <c r="A64" s="82"/>
      <c r="B64" s="83"/>
      <c r="C64" s="87"/>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9"/>
    </row>
    <row r="65" spans="1:43" x14ac:dyDescent="0.25">
      <c r="A65" s="82"/>
      <c r="B65" s="83"/>
      <c r="C65" s="87"/>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9"/>
    </row>
    <row r="66" spans="1:43" x14ac:dyDescent="0.25">
      <c r="A66" s="82"/>
      <c r="B66" s="83"/>
      <c r="C66" s="87"/>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9"/>
    </row>
    <row r="67" spans="1:43" x14ac:dyDescent="0.25">
      <c r="A67" s="82"/>
      <c r="B67" s="83"/>
      <c r="C67" s="87"/>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9"/>
    </row>
    <row r="68" spans="1:43" ht="30" customHeight="1" x14ac:dyDescent="0.25">
      <c r="A68" s="82"/>
      <c r="B68" s="83"/>
      <c r="C68" s="87"/>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9"/>
    </row>
    <row r="69" spans="1:43" ht="45" customHeight="1" x14ac:dyDescent="0.25">
      <c r="A69" s="82" t="s">
        <v>531</v>
      </c>
      <c r="B69" s="83"/>
      <c r="C69" s="84" t="s">
        <v>543</v>
      </c>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6"/>
    </row>
    <row r="70" spans="1:43" x14ac:dyDescent="0.25">
      <c r="A70" s="82"/>
      <c r="B70" s="83"/>
      <c r="C70" s="87"/>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9"/>
    </row>
    <row r="71" spans="1:43" x14ac:dyDescent="0.25">
      <c r="A71" s="82"/>
      <c r="B71" s="83"/>
      <c r="C71" s="87"/>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9"/>
    </row>
    <row r="72" spans="1:43" x14ac:dyDescent="0.25">
      <c r="A72" s="82"/>
      <c r="B72" s="83"/>
      <c r="C72" s="87"/>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9"/>
    </row>
    <row r="73" spans="1:43" x14ac:dyDescent="0.25">
      <c r="A73" s="82"/>
      <c r="B73" s="83"/>
      <c r="C73" s="87"/>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9"/>
    </row>
    <row r="74" spans="1:43" ht="30" customHeight="1" x14ac:dyDescent="0.25">
      <c r="A74" s="82"/>
      <c r="B74" s="83"/>
      <c r="C74" s="87"/>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9"/>
    </row>
    <row r="75" spans="1:43" ht="45" customHeight="1" x14ac:dyDescent="0.25">
      <c r="A75" s="82" t="s">
        <v>532</v>
      </c>
      <c r="B75" s="83"/>
      <c r="C75" s="84" t="s">
        <v>543</v>
      </c>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6"/>
    </row>
    <row r="76" spans="1:43" x14ac:dyDescent="0.25">
      <c r="A76" s="82"/>
      <c r="B76" s="83"/>
      <c r="C76" s="87"/>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9"/>
    </row>
    <row r="77" spans="1:43" x14ac:dyDescent="0.25">
      <c r="A77" s="82"/>
      <c r="B77" s="83"/>
      <c r="C77" s="87"/>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9"/>
    </row>
    <row r="78" spans="1:43" x14ac:dyDescent="0.25">
      <c r="A78" s="82"/>
      <c r="B78" s="83"/>
      <c r="C78" s="87"/>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9"/>
    </row>
    <row r="79" spans="1:43" x14ac:dyDescent="0.25">
      <c r="A79" s="82"/>
      <c r="B79" s="83"/>
      <c r="C79" s="87"/>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9"/>
    </row>
    <row r="80" spans="1:43" ht="30" customHeight="1" x14ac:dyDescent="0.25">
      <c r="A80" s="82"/>
      <c r="B80" s="83"/>
      <c r="C80" s="87"/>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9"/>
    </row>
    <row r="81" spans="1:43" ht="45" customHeight="1" x14ac:dyDescent="0.25">
      <c r="A81" s="82" t="s">
        <v>533</v>
      </c>
      <c r="B81" s="83"/>
      <c r="C81" s="84" t="s">
        <v>543</v>
      </c>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6"/>
    </row>
    <row r="82" spans="1:43" x14ac:dyDescent="0.25">
      <c r="A82" s="82"/>
      <c r="B82" s="83"/>
      <c r="C82" s="87"/>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9"/>
    </row>
    <row r="83" spans="1:43" x14ac:dyDescent="0.25">
      <c r="A83" s="82"/>
      <c r="B83" s="83"/>
      <c r="C83" s="87"/>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9"/>
    </row>
    <row r="84" spans="1:43" x14ac:dyDescent="0.25">
      <c r="A84" s="82"/>
      <c r="B84" s="83"/>
      <c r="C84" s="87"/>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9"/>
    </row>
    <row r="85" spans="1:43" x14ac:dyDescent="0.25">
      <c r="A85" s="82"/>
      <c r="B85" s="83"/>
      <c r="C85" s="87"/>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9"/>
    </row>
    <row r="86" spans="1:43" ht="30" customHeight="1" x14ac:dyDescent="0.25">
      <c r="A86" s="82"/>
      <c r="B86" s="83"/>
      <c r="C86" s="87"/>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9"/>
    </row>
    <row r="87" spans="1:43" ht="45" customHeight="1" x14ac:dyDescent="0.25">
      <c r="A87" s="82" t="s">
        <v>534</v>
      </c>
      <c r="B87" s="83"/>
      <c r="C87" s="84" t="s">
        <v>543</v>
      </c>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6"/>
    </row>
    <row r="88" spans="1:43" x14ac:dyDescent="0.25">
      <c r="A88" s="82"/>
      <c r="B88" s="83"/>
      <c r="C88" s="87"/>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9"/>
    </row>
    <row r="89" spans="1:43" x14ac:dyDescent="0.25">
      <c r="A89" s="82"/>
      <c r="B89" s="83"/>
      <c r="C89" s="87"/>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9"/>
    </row>
    <row r="90" spans="1:43" x14ac:dyDescent="0.25">
      <c r="A90" s="82"/>
      <c r="B90" s="83"/>
      <c r="C90" s="87"/>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9"/>
    </row>
    <row r="91" spans="1:43" x14ac:dyDescent="0.25">
      <c r="A91" s="82"/>
      <c r="B91" s="83"/>
      <c r="C91" s="87"/>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9"/>
    </row>
    <row r="92" spans="1:43" ht="30" customHeight="1" x14ac:dyDescent="0.25">
      <c r="A92" s="82"/>
      <c r="B92" s="83"/>
      <c r="C92" s="138"/>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40"/>
    </row>
    <row r="93" spans="1:43" ht="45" customHeight="1" x14ac:dyDescent="0.25">
      <c r="A93" s="82" t="s">
        <v>540</v>
      </c>
      <c r="B93" s="83"/>
      <c r="C93" s="84" t="s">
        <v>543</v>
      </c>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6"/>
    </row>
    <row r="94" spans="1:43" x14ac:dyDescent="0.25">
      <c r="A94" s="82"/>
      <c r="B94" s="83"/>
      <c r="C94" s="87"/>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9"/>
    </row>
    <row r="95" spans="1:43" x14ac:dyDescent="0.25">
      <c r="A95" s="82"/>
      <c r="B95" s="83"/>
      <c r="C95" s="87"/>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9"/>
    </row>
    <row r="96" spans="1:43" x14ac:dyDescent="0.25">
      <c r="A96" s="82"/>
      <c r="B96" s="83"/>
      <c r="C96" s="87"/>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9"/>
    </row>
    <row r="97" spans="1:43" x14ac:dyDescent="0.25">
      <c r="A97" s="82"/>
      <c r="B97" s="83"/>
      <c r="C97" s="87"/>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9"/>
    </row>
    <row r="98" spans="1:43" ht="30" customHeight="1" x14ac:dyDescent="0.25">
      <c r="A98" s="82"/>
      <c r="B98" s="83"/>
      <c r="C98" s="87"/>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9"/>
    </row>
  </sheetData>
  <sheetProtection algorithmName="SHA-512" hashValue="5l0pNHP8JpQdIt0MaquaC9pTA7VKbYMqVDDpvHxJ9++VQQMJNxfpNxY2w+fCOlRLwdeilcELvFjhQ3Sv4ROWAg==" saltValue="weXO6Bxi/++LHC86JGm89Q==" spinCount="100000" sheet="1" objects="1" scenarios="1"/>
  <dataConsolidate/>
  <mergeCells count="137">
    <mergeCell ref="C33:AQ33"/>
    <mergeCell ref="C39:AQ39"/>
    <mergeCell ref="C22:AQ26"/>
    <mergeCell ref="C28:AQ32"/>
    <mergeCell ref="C34:AQ38"/>
    <mergeCell ref="C40:AQ44"/>
    <mergeCell ref="C46:AQ50"/>
    <mergeCell ref="C52:AQ56"/>
    <mergeCell ref="C58:AQ62"/>
    <mergeCell ref="AG11:AK11"/>
    <mergeCell ref="AL11:AQ11"/>
    <mergeCell ref="AG12:AK12"/>
    <mergeCell ref="AL12:AQ12"/>
    <mergeCell ref="AG13:AK13"/>
    <mergeCell ref="AL13:AQ13"/>
    <mergeCell ref="AG14:AK14"/>
    <mergeCell ref="AL14:AQ14"/>
    <mergeCell ref="AG15:AK15"/>
    <mergeCell ref="AL15:AQ15"/>
    <mergeCell ref="C11:K11"/>
    <mergeCell ref="C12:K12"/>
    <mergeCell ref="C13:K13"/>
    <mergeCell ref="C14:K14"/>
    <mergeCell ref="C15:K15"/>
    <mergeCell ref="C16:K16"/>
    <mergeCell ref="C17:K17"/>
    <mergeCell ref="C18:K18"/>
    <mergeCell ref="C19:K19"/>
    <mergeCell ref="L11:P11"/>
    <mergeCell ref="L12:P12"/>
    <mergeCell ref="L13:P13"/>
    <mergeCell ref="L14:P14"/>
    <mergeCell ref="L15:P15"/>
    <mergeCell ref="L16:P16"/>
    <mergeCell ref="Y11:AF11"/>
    <mergeCell ref="Y12:AF12"/>
    <mergeCell ref="Y13:AF13"/>
    <mergeCell ref="Y14:AF14"/>
    <mergeCell ref="Y15:AF15"/>
    <mergeCell ref="Y16:AF16"/>
    <mergeCell ref="Q13:V13"/>
    <mergeCell ref="W13:X13"/>
    <mergeCell ref="Q12:V12"/>
    <mergeCell ref="W12:X12"/>
    <mergeCell ref="Q19:V19"/>
    <mergeCell ref="W19:X19"/>
    <mergeCell ref="L18:P18"/>
    <mergeCell ref="L19:P19"/>
    <mergeCell ref="A18:B18"/>
    <mergeCell ref="Q18:V18"/>
    <mergeCell ref="W18:X18"/>
    <mergeCell ref="Y18:AF18"/>
    <mergeCell ref="Y19:AF19"/>
    <mergeCell ref="AG19:AK19"/>
    <mergeCell ref="A81:B86"/>
    <mergeCell ref="A87:B92"/>
    <mergeCell ref="A69:B74"/>
    <mergeCell ref="A75:B80"/>
    <mergeCell ref="C75:AQ75"/>
    <mergeCell ref="C81:AQ81"/>
    <mergeCell ref="A57:B62"/>
    <mergeCell ref="A63:B68"/>
    <mergeCell ref="A45:B50"/>
    <mergeCell ref="A51:B56"/>
    <mergeCell ref="C51:AQ51"/>
    <mergeCell ref="C57:AQ57"/>
    <mergeCell ref="C76:AQ80"/>
    <mergeCell ref="C82:AQ86"/>
    <mergeCell ref="C88:AQ92"/>
    <mergeCell ref="C87:AQ87"/>
    <mergeCell ref="C63:AQ63"/>
    <mergeCell ref="C69:AQ69"/>
    <mergeCell ref="C45:AQ45"/>
    <mergeCell ref="C64:AQ68"/>
    <mergeCell ref="C70:AQ74"/>
    <mergeCell ref="AL19:AQ19"/>
    <mergeCell ref="A19:B19"/>
    <mergeCell ref="A15:B15"/>
    <mergeCell ref="Q15:V15"/>
    <mergeCell ref="W15:X15"/>
    <mergeCell ref="AG18:AK18"/>
    <mergeCell ref="AL18:AQ18"/>
    <mergeCell ref="A14:B14"/>
    <mergeCell ref="Q14:V14"/>
    <mergeCell ref="W14:X14"/>
    <mergeCell ref="A17:B17"/>
    <mergeCell ref="Q17:V17"/>
    <mergeCell ref="W17:X17"/>
    <mergeCell ref="L17:P17"/>
    <mergeCell ref="A16:B16"/>
    <mergeCell ref="Q16:V16"/>
    <mergeCell ref="W16:X16"/>
    <mergeCell ref="AG16:AK16"/>
    <mergeCell ref="AL16:AQ16"/>
    <mergeCell ref="AG17:AK17"/>
    <mergeCell ref="AL17:AQ17"/>
    <mergeCell ref="Y17:AF17"/>
    <mergeCell ref="A1:AQ1"/>
    <mergeCell ref="A3:AQ3"/>
    <mergeCell ref="A4:AQ4"/>
    <mergeCell ref="A6:M6"/>
    <mergeCell ref="A7:M8"/>
    <mergeCell ref="N5:Y5"/>
    <mergeCell ref="AA5:AE5"/>
    <mergeCell ref="AF5:AQ5"/>
    <mergeCell ref="A5:M5"/>
    <mergeCell ref="N6:Y6"/>
    <mergeCell ref="AA6:AE6"/>
    <mergeCell ref="AF6:AQ6"/>
    <mergeCell ref="N7:Y8"/>
    <mergeCell ref="AA7:AE7"/>
    <mergeCell ref="AF7:AQ7"/>
    <mergeCell ref="A2:AQ2"/>
    <mergeCell ref="A93:B98"/>
    <mergeCell ref="C93:AQ93"/>
    <mergeCell ref="C94:AQ98"/>
    <mergeCell ref="AA8:AE8"/>
    <mergeCell ref="AF8:AQ8"/>
    <mergeCell ref="N9:U9"/>
    <mergeCell ref="V9:Y9"/>
    <mergeCell ref="AA9:AE9"/>
    <mergeCell ref="AF9:AQ9"/>
    <mergeCell ref="A9:M9"/>
    <mergeCell ref="A33:B38"/>
    <mergeCell ref="A39:B44"/>
    <mergeCell ref="A27:B32"/>
    <mergeCell ref="A22:B26"/>
    <mergeCell ref="A21:B21"/>
    <mergeCell ref="C21:AQ21"/>
    <mergeCell ref="C27:AQ27"/>
    <mergeCell ref="A20:AN20"/>
    <mergeCell ref="A10:AN10"/>
    <mergeCell ref="A11:B11"/>
    <mergeCell ref="Q11:V11"/>
    <mergeCell ref="W11:X11"/>
    <mergeCell ref="A12:B12"/>
    <mergeCell ref="A13:B13"/>
  </mergeCells>
  <dataValidations count="5">
    <dataValidation type="custom" allowBlank="1" showInputMessage="1" showErrorMessage="1" prompt="limit initials to three characters. " sqref="C12:K19" xr:uid="{A1B942BA-D91A-44A4-82CF-2932FED2D6B0}">
      <formula1>AND(ISNUMBER(SUMPRODUCT(SEARCH(MID(C12,ROW(INDIRECT("1:3"&amp;LEN(C12))),1),"0123456789ABCDEFGHIJKLMNOPQRSTUVWXYZ"))),LEN(C12)&lt;=3)</formula1>
    </dataValidation>
    <dataValidation type="custom" allowBlank="1" showInputMessage="1" showErrorMessage="1" prompt="Limit initials to three characters. " sqref="Y12:AF19" xr:uid="{2E7845F7-E81B-4900-832D-AEA42D5049F1}">
      <formula1>AND(ISNUMBER(SUMPRODUCT(SEARCH(MID(Y12,ROW(INDIRECT("1:3"&amp;LEN(Y12))),1),"0123456789ABCDEFGHIJKLMNOPQRSTUVWXYZ"))),LEN(Y12)&lt;=3)</formula1>
    </dataValidation>
    <dataValidation type="date" allowBlank="1" showInputMessage="1" showErrorMessage="1" prompt="Use MM/DD/YYYY format. " sqref="L12:P19" xr:uid="{915968E6-54D9-4550-B91B-A0BD12E9784E}">
      <formula1>43983</formula1>
      <formula2>46022</formula2>
    </dataValidation>
    <dataValidation type="date" allowBlank="1" showInputMessage="1" showErrorMessage="1" prompt="Use DD/MM/YYYY format. " sqref="Q12:V19" xr:uid="{7BCED111-4E34-4F66-BD0B-0ED49A72E831}">
      <formula1>43983</formula1>
      <formula2>46022</formula2>
    </dataValidation>
    <dataValidation type="date" allowBlank="1" showInputMessage="1" showErrorMessage="1" prompt="Use DD/MM/YYYY format. " sqref="AG12:AQ19" xr:uid="{65BCBF11-591C-49E2-976C-2C21535FCFFB}">
      <formula1>43831</formula1>
      <formula2>46022</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BB7F961-CD39-44C2-AC2E-EBB367FD248E}">
          <x14:formula1>
            <xm:f>'Pick List '!$A$4:$A$15</xm:f>
          </x14:formula1>
          <xm:sqref>N9:U9</xm:sqref>
        </x14:dataValidation>
        <x14:dataValidation type="list" allowBlank="1" showInputMessage="1" showErrorMessage="1" xr:uid="{4EA0F6C6-4252-43D1-98EA-FA48D88D911C}">
          <x14:formula1>
            <xm:f>'Pick List '!$C$6:$C$12</xm:f>
          </x14:formula1>
          <xm:sqref>V9:Y9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D276-DE5F-4E6D-A0B7-4EBFF2A32E55}">
  <dimension ref="A1:J63"/>
  <sheetViews>
    <sheetView workbookViewId="0">
      <pane ySplit="1" topLeftCell="A2" activePane="bottomLeft" state="frozen"/>
      <selection pane="bottomLeft" activeCell="A2" sqref="A2:J2"/>
    </sheetView>
  </sheetViews>
  <sheetFormatPr defaultRowHeight="15" x14ac:dyDescent="0.25"/>
  <cols>
    <col min="1" max="10" width="15.7109375" customWidth="1"/>
  </cols>
  <sheetData>
    <row r="1" spans="1:10" ht="16.5" thickBot="1" x14ac:dyDescent="0.3">
      <c r="A1" s="67" t="s">
        <v>482</v>
      </c>
      <c r="B1" s="59" t="s">
        <v>493</v>
      </c>
      <c r="C1" s="162" t="s">
        <v>494</v>
      </c>
      <c r="D1" s="163"/>
      <c r="E1" s="164"/>
      <c r="F1" s="68" t="s">
        <v>278</v>
      </c>
      <c r="G1" s="163"/>
      <c r="H1" s="163"/>
      <c r="I1" s="163"/>
      <c r="J1" s="165"/>
    </row>
    <row r="2" spans="1:10" ht="15.75" x14ac:dyDescent="0.25">
      <c r="A2" s="185" t="str">
        <f>'BASE GRANTEE INFO &amp; UPDATE'!A1</f>
        <v>WV Bureau For Behavioral Health-Quick Response Team 2025</v>
      </c>
      <c r="B2" s="186"/>
      <c r="C2" s="186"/>
      <c r="D2" s="186"/>
      <c r="E2" s="186"/>
      <c r="F2" s="186"/>
      <c r="G2" s="186"/>
      <c r="H2" s="186"/>
      <c r="I2" s="186"/>
      <c r="J2" s="187"/>
    </row>
    <row r="3" spans="1:10" ht="15.75" x14ac:dyDescent="0.25">
      <c r="A3" s="188" t="str">
        <f>'BASE GRANTEE INFO &amp; UPDATE'!A2</f>
        <v>Fiscal Grant Year 2025 - Grant Reporting Period 9/30/24 - 9/29/25</v>
      </c>
      <c r="B3" s="189"/>
      <c r="C3" s="189"/>
      <c r="D3" s="189"/>
      <c r="E3" s="189"/>
      <c r="F3" s="189"/>
      <c r="G3" s="189"/>
      <c r="H3" s="189"/>
      <c r="I3" s="189"/>
      <c r="J3" s="190"/>
    </row>
    <row r="4" spans="1:10" ht="15.75" x14ac:dyDescent="0.25">
      <c r="A4" s="188" t="str">
        <f>'BASE GRANTEE INFO &amp; UPDATE'!A3</f>
        <v xml:space="preserve">Program reports need to be submitted electronically, via e-mail to BBHReporting@wv.gov  within 25 calendar days of the end of each month </v>
      </c>
      <c r="B4" s="189"/>
      <c r="C4" s="189"/>
      <c r="D4" s="189"/>
      <c r="E4" s="189"/>
      <c r="F4" s="189"/>
      <c r="G4" s="189"/>
      <c r="H4" s="189"/>
      <c r="I4" s="189"/>
      <c r="J4" s="190"/>
    </row>
    <row r="5" spans="1:10" ht="18.75" x14ac:dyDescent="0.25">
      <c r="A5" s="204" t="s">
        <v>495</v>
      </c>
      <c r="B5" s="205"/>
      <c r="C5" s="205"/>
      <c r="D5" s="205"/>
      <c r="E5" s="205"/>
      <c r="F5" s="205"/>
      <c r="G5" s="205"/>
      <c r="H5" s="205"/>
      <c r="I5" s="205"/>
      <c r="J5" s="206"/>
    </row>
    <row r="6" spans="1:10" x14ac:dyDescent="0.25">
      <c r="A6" s="202" t="s">
        <v>496</v>
      </c>
      <c r="B6" s="203"/>
      <c r="C6" s="203"/>
      <c r="D6" s="169" t="str">
        <f>'BASE GRANTEE INFO &amp; UPDATE'!N5</f>
        <v>Quick Response Team</v>
      </c>
      <c r="E6" s="170"/>
      <c r="F6" s="174" t="s">
        <v>1</v>
      </c>
      <c r="G6" s="175"/>
      <c r="H6" s="182">
        <f>'BASE GRANTEE INFO &amp; UPDATE'!AF5</f>
        <v>0</v>
      </c>
      <c r="I6" s="183"/>
      <c r="J6" s="184"/>
    </row>
    <row r="7" spans="1:10" ht="30" customHeight="1" x14ac:dyDescent="0.25">
      <c r="A7" s="202" t="s">
        <v>497</v>
      </c>
      <c r="B7" s="203"/>
      <c r="C7" s="203"/>
      <c r="D7" s="169">
        <f>'BASE GRANTEE INFO &amp; UPDATE'!N6</f>
        <v>0</v>
      </c>
      <c r="E7" s="170"/>
      <c r="F7" s="174" t="s">
        <v>498</v>
      </c>
      <c r="G7" s="175"/>
      <c r="H7" s="182">
        <f>'BASE GRANTEE INFO &amp; UPDATE'!AF6</f>
        <v>0</v>
      </c>
      <c r="I7" s="183"/>
      <c r="J7" s="184"/>
    </row>
    <row r="8" spans="1:10" ht="15" customHeight="1" x14ac:dyDescent="0.25">
      <c r="A8" s="194" t="s">
        <v>499</v>
      </c>
      <c r="B8" s="209"/>
      <c r="C8" s="209"/>
      <c r="D8" s="198">
        <f>'BASE GRANTEE INFO &amp; UPDATE'!N7</f>
        <v>0</v>
      </c>
      <c r="E8" s="199"/>
      <c r="F8" s="174" t="s">
        <v>277</v>
      </c>
      <c r="G8" s="175"/>
      <c r="H8" s="182">
        <f>'BASE GRANTEE INFO &amp; UPDATE'!AF7</f>
        <v>0</v>
      </c>
      <c r="I8" s="183"/>
      <c r="J8" s="184"/>
    </row>
    <row r="9" spans="1:10" x14ac:dyDescent="0.25">
      <c r="A9" s="210"/>
      <c r="B9" s="211"/>
      <c r="C9" s="211"/>
      <c r="D9" s="200"/>
      <c r="E9" s="201"/>
      <c r="F9" s="174" t="s">
        <v>5</v>
      </c>
      <c r="G9" s="175"/>
      <c r="H9" s="182">
        <f>'BASE GRANTEE INFO &amp; UPDATE'!AF8</f>
        <v>0</v>
      </c>
      <c r="I9" s="183"/>
      <c r="J9" s="184"/>
    </row>
    <row r="10" spans="1:10" ht="15.75" thickBot="1" x14ac:dyDescent="0.3">
      <c r="A10" s="194" t="s">
        <v>500</v>
      </c>
      <c r="B10" s="195"/>
      <c r="C10" s="195"/>
      <c r="D10" s="81" t="str">
        <f>'BASE GRANTEE INFO &amp; UPDATE'!N9</f>
        <v>September 1 - 30</v>
      </c>
      <c r="E10" s="81">
        <f>'BASE GRANTEE INFO &amp; UPDATE'!V9</f>
        <v>2024</v>
      </c>
      <c r="F10" s="196" t="s">
        <v>501</v>
      </c>
      <c r="G10" s="197"/>
      <c r="H10" s="191">
        <f>'BASE GRANTEE INFO &amp; UPDATE'!AF9</f>
        <v>0</v>
      </c>
      <c r="I10" s="192"/>
      <c r="J10" s="193"/>
    </row>
    <row r="11" spans="1:10" ht="19.5" thickBot="1" x14ac:dyDescent="0.3">
      <c r="A11" s="179" t="s">
        <v>502</v>
      </c>
      <c r="B11" s="180"/>
      <c r="C11" s="180"/>
      <c r="D11" s="180"/>
      <c r="E11" s="180"/>
      <c r="F11" s="180"/>
      <c r="G11" s="180"/>
      <c r="H11" s="180"/>
      <c r="I11" s="180"/>
      <c r="J11" s="181"/>
    </row>
    <row r="12" spans="1:10" ht="19.5" thickBot="1" x14ac:dyDescent="0.3">
      <c r="A12" s="212" t="s">
        <v>503</v>
      </c>
      <c r="B12" s="213"/>
      <c r="C12" s="213"/>
      <c r="D12" s="213"/>
      <c r="E12" s="213"/>
      <c r="F12" s="213"/>
      <c r="G12" s="213"/>
      <c r="H12" s="207" t="s">
        <v>504</v>
      </c>
      <c r="I12" s="207"/>
      <c r="J12" s="208"/>
    </row>
    <row r="13" spans="1:10" ht="19.5" thickBot="1" x14ac:dyDescent="0.3">
      <c r="A13" s="176" t="s">
        <v>505</v>
      </c>
      <c r="B13" s="177"/>
      <c r="C13" s="177"/>
      <c r="D13" s="177"/>
      <c r="E13" s="177"/>
      <c r="F13" s="177"/>
      <c r="G13" s="177"/>
      <c r="H13" s="177"/>
      <c r="I13" s="177"/>
      <c r="J13" s="178"/>
    </row>
    <row r="14" spans="1:10" ht="16.5" thickBot="1" x14ac:dyDescent="0.3">
      <c r="A14" s="171" t="s">
        <v>506</v>
      </c>
      <c r="B14" s="172"/>
      <c r="C14" s="171" t="s">
        <v>494</v>
      </c>
      <c r="D14" s="172"/>
      <c r="E14" s="173"/>
      <c r="F14" s="64" t="s">
        <v>278</v>
      </c>
    </row>
    <row r="15" spans="1:10" ht="15.75" thickBot="1" x14ac:dyDescent="0.3">
      <c r="A15" s="61" t="s">
        <v>482</v>
      </c>
      <c r="B15" s="62" t="s">
        <v>493</v>
      </c>
      <c r="C15" s="69"/>
      <c r="D15" s="69"/>
      <c r="E15" s="69"/>
      <c r="F15" s="69"/>
    </row>
    <row r="16" spans="1:10" ht="48" customHeight="1" x14ac:dyDescent="0.25">
      <c r="A16" s="153" t="s">
        <v>484</v>
      </c>
      <c r="B16" s="155">
        <v>2024</v>
      </c>
      <c r="C16" s="166" t="s">
        <v>511</v>
      </c>
      <c r="D16" s="167"/>
      <c r="E16" s="168"/>
      <c r="F16" s="60"/>
    </row>
    <row r="17" spans="1:6" ht="48" customHeight="1" x14ac:dyDescent="0.25">
      <c r="A17" s="153"/>
      <c r="B17" s="155"/>
      <c r="C17" s="159" t="s">
        <v>512</v>
      </c>
      <c r="D17" s="160"/>
      <c r="E17" s="161"/>
      <c r="F17" s="60"/>
    </row>
    <row r="18" spans="1:6" ht="48" customHeight="1" thickBot="1" x14ac:dyDescent="0.3">
      <c r="A18" s="153"/>
      <c r="B18" s="155"/>
      <c r="C18" s="159" t="s">
        <v>513</v>
      </c>
      <c r="D18" s="160"/>
      <c r="E18" s="161"/>
      <c r="F18" s="60"/>
    </row>
    <row r="19" spans="1:6" ht="15.75" thickBot="1" x14ac:dyDescent="0.3">
      <c r="A19" s="70"/>
      <c r="B19" s="71"/>
      <c r="C19" s="71"/>
      <c r="D19" s="71"/>
      <c r="E19" s="71"/>
      <c r="F19" s="71"/>
    </row>
    <row r="20" spans="1:6" ht="48" customHeight="1" x14ac:dyDescent="0.25">
      <c r="A20" s="152" t="s">
        <v>485</v>
      </c>
      <c r="B20" s="154">
        <v>2024</v>
      </c>
      <c r="C20" s="156" t="s">
        <v>511</v>
      </c>
      <c r="D20" s="157"/>
      <c r="E20" s="158"/>
      <c r="F20" s="63"/>
    </row>
    <row r="21" spans="1:6" ht="48" customHeight="1" x14ac:dyDescent="0.25">
      <c r="A21" s="153"/>
      <c r="B21" s="155"/>
      <c r="C21" s="159" t="s">
        <v>512</v>
      </c>
      <c r="D21" s="160"/>
      <c r="E21" s="161"/>
      <c r="F21" s="60"/>
    </row>
    <row r="22" spans="1:6" ht="48" customHeight="1" thickBot="1" x14ac:dyDescent="0.3">
      <c r="A22" s="153"/>
      <c r="B22" s="155"/>
      <c r="C22" s="159" t="s">
        <v>513</v>
      </c>
      <c r="D22" s="160"/>
      <c r="E22" s="161"/>
      <c r="F22" s="60"/>
    </row>
    <row r="23" spans="1:6" ht="15.75" thickBot="1" x14ac:dyDescent="0.3">
      <c r="A23" s="70"/>
      <c r="B23" s="71"/>
      <c r="C23" s="71"/>
      <c r="D23" s="71"/>
      <c r="E23" s="71"/>
      <c r="F23" s="71"/>
    </row>
    <row r="24" spans="1:6" ht="48" customHeight="1" x14ac:dyDescent="0.25">
      <c r="A24" s="152" t="s">
        <v>486</v>
      </c>
      <c r="B24" s="154">
        <v>2024</v>
      </c>
      <c r="C24" s="156" t="s">
        <v>511</v>
      </c>
      <c r="D24" s="157"/>
      <c r="E24" s="158"/>
      <c r="F24" s="65"/>
    </row>
    <row r="25" spans="1:6" ht="48" customHeight="1" x14ac:dyDescent="0.25">
      <c r="A25" s="153"/>
      <c r="B25" s="155"/>
      <c r="C25" s="159" t="s">
        <v>512</v>
      </c>
      <c r="D25" s="160"/>
      <c r="E25" s="161"/>
      <c r="F25" s="66"/>
    </row>
    <row r="26" spans="1:6" ht="48" customHeight="1" thickBot="1" x14ac:dyDescent="0.3">
      <c r="A26" s="153"/>
      <c r="B26" s="155"/>
      <c r="C26" s="159" t="s">
        <v>513</v>
      </c>
      <c r="D26" s="160"/>
      <c r="E26" s="161"/>
      <c r="F26" s="66"/>
    </row>
    <row r="27" spans="1:6" ht="15.75" thickBot="1" x14ac:dyDescent="0.3">
      <c r="A27" s="70"/>
      <c r="B27" s="71"/>
      <c r="C27" s="71"/>
      <c r="D27" s="71"/>
      <c r="E27" s="71"/>
      <c r="F27" s="71"/>
    </row>
    <row r="28" spans="1:6" ht="48" customHeight="1" x14ac:dyDescent="0.25">
      <c r="A28" s="152" t="s">
        <v>487</v>
      </c>
      <c r="B28" s="154">
        <v>2025</v>
      </c>
      <c r="C28" s="156" t="s">
        <v>511</v>
      </c>
      <c r="D28" s="157"/>
      <c r="E28" s="158"/>
      <c r="F28" s="63"/>
    </row>
    <row r="29" spans="1:6" ht="48" customHeight="1" x14ac:dyDescent="0.25">
      <c r="A29" s="153"/>
      <c r="B29" s="155"/>
      <c r="C29" s="159" t="s">
        <v>512</v>
      </c>
      <c r="D29" s="160"/>
      <c r="E29" s="161"/>
      <c r="F29" s="60"/>
    </row>
    <row r="30" spans="1:6" ht="48" customHeight="1" thickBot="1" x14ac:dyDescent="0.3">
      <c r="A30" s="153"/>
      <c r="B30" s="155"/>
      <c r="C30" s="159" t="s">
        <v>513</v>
      </c>
      <c r="D30" s="160"/>
      <c r="E30" s="161"/>
      <c r="F30" s="60"/>
    </row>
    <row r="31" spans="1:6" ht="15.75" thickBot="1" x14ac:dyDescent="0.3">
      <c r="A31" s="70"/>
      <c r="B31" s="71"/>
      <c r="C31" s="71"/>
      <c r="D31" s="71"/>
      <c r="E31" s="71"/>
      <c r="F31" s="71"/>
    </row>
    <row r="32" spans="1:6" ht="48" customHeight="1" x14ac:dyDescent="0.25">
      <c r="A32" s="152" t="s">
        <v>488</v>
      </c>
      <c r="B32" s="154">
        <v>2025</v>
      </c>
      <c r="C32" s="156" t="s">
        <v>511</v>
      </c>
      <c r="D32" s="157"/>
      <c r="E32" s="158"/>
      <c r="F32" s="63"/>
    </row>
    <row r="33" spans="1:6" ht="48" customHeight="1" x14ac:dyDescent="0.25">
      <c r="A33" s="153"/>
      <c r="B33" s="155"/>
      <c r="C33" s="159" t="s">
        <v>512</v>
      </c>
      <c r="D33" s="160"/>
      <c r="E33" s="161"/>
      <c r="F33" s="60"/>
    </row>
    <row r="34" spans="1:6" ht="48" customHeight="1" thickBot="1" x14ac:dyDescent="0.3">
      <c r="A34" s="153"/>
      <c r="B34" s="155"/>
      <c r="C34" s="159" t="s">
        <v>513</v>
      </c>
      <c r="D34" s="160"/>
      <c r="E34" s="161"/>
      <c r="F34" s="60"/>
    </row>
    <row r="35" spans="1:6" ht="15.75" thickBot="1" x14ac:dyDescent="0.3">
      <c r="A35" s="70"/>
      <c r="B35" s="71"/>
      <c r="C35" s="71"/>
      <c r="D35" s="71"/>
      <c r="E35" s="71"/>
      <c r="F35" s="71"/>
    </row>
    <row r="36" spans="1:6" ht="48" customHeight="1" x14ac:dyDescent="0.25">
      <c r="A36" s="152" t="s">
        <v>489</v>
      </c>
      <c r="B36" s="154">
        <v>2025</v>
      </c>
      <c r="C36" s="156" t="s">
        <v>511</v>
      </c>
      <c r="D36" s="157"/>
      <c r="E36" s="158"/>
      <c r="F36" s="63"/>
    </row>
    <row r="37" spans="1:6" ht="48" customHeight="1" x14ac:dyDescent="0.25">
      <c r="A37" s="153"/>
      <c r="B37" s="155"/>
      <c r="C37" s="159" t="s">
        <v>512</v>
      </c>
      <c r="D37" s="160"/>
      <c r="E37" s="161"/>
      <c r="F37" s="60"/>
    </row>
    <row r="38" spans="1:6" ht="48" customHeight="1" thickBot="1" x14ac:dyDescent="0.3">
      <c r="A38" s="153"/>
      <c r="B38" s="155"/>
      <c r="C38" s="159" t="s">
        <v>513</v>
      </c>
      <c r="D38" s="160"/>
      <c r="E38" s="161"/>
      <c r="F38" s="60"/>
    </row>
    <row r="39" spans="1:6" ht="15.75" thickBot="1" x14ac:dyDescent="0.3">
      <c r="A39" s="70"/>
      <c r="B39" s="71"/>
      <c r="C39" s="71"/>
      <c r="D39" s="71"/>
      <c r="E39" s="71"/>
      <c r="F39" s="71"/>
    </row>
    <row r="40" spans="1:6" ht="48" customHeight="1" x14ac:dyDescent="0.25">
      <c r="A40" s="152" t="s">
        <v>507</v>
      </c>
      <c r="B40" s="154">
        <v>2025</v>
      </c>
      <c r="C40" s="156" t="s">
        <v>511</v>
      </c>
      <c r="D40" s="157"/>
      <c r="E40" s="158"/>
      <c r="F40" s="63"/>
    </row>
    <row r="41" spans="1:6" ht="48" customHeight="1" x14ac:dyDescent="0.25">
      <c r="A41" s="153"/>
      <c r="B41" s="155"/>
      <c r="C41" s="159" t="s">
        <v>512</v>
      </c>
      <c r="D41" s="160"/>
      <c r="E41" s="161"/>
      <c r="F41" s="60"/>
    </row>
    <row r="42" spans="1:6" ht="48" customHeight="1" thickBot="1" x14ac:dyDescent="0.3">
      <c r="A42" s="153"/>
      <c r="B42" s="155"/>
      <c r="C42" s="159" t="s">
        <v>513</v>
      </c>
      <c r="D42" s="160"/>
      <c r="E42" s="161"/>
      <c r="F42" s="60"/>
    </row>
    <row r="43" spans="1:6" ht="15.75" thickBot="1" x14ac:dyDescent="0.3">
      <c r="A43" s="70"/>
      <c r="B43" s="71"/>
      <c r="C43" s="71"/>
      <c r="D43" s="71"/>
      <c r="E43" s="71"/>
      <c r="F43" s="71"/>
    </row>
    <row r="44" spans="1:6" ht="48" customHeight="1" x14ac:dyDescent="0.25">
      <c r="A44" s="152" t="s">
        <v>490</v>
      </c>
      <c r="B44" s="154">
        <v>2025</v>
      </c>
      <c r="C44" s="156" t="s">
        <v>511</v>
      </c>
      <c r="D44" s="157"/>
      <c r="E44" s="158"/>
      <c r="F44" s="63"/>
    </row>
    <row r="45" spans="1:6" ht="48" customHeight="1" x14ac:dyDescent="0.25">
      <c r="A45" s="153"/>
      <c r="B45" s="155"/>
      <c r="C45" s="159" t="s">
        <v>512</v>
      </c>
      <c r="D45" s="160"/>
      <c r="E45" s="161"/>
      <c r="F45" s="60"/>
    </row>
    <row r="46" spans="1:6" ht="48" customHeight="1" thickBot="1" x14ac:dyDescent="0.3">
      <c r="A46" s="153"/>
      <c r="B46" s="155"/>
      <c r="C46" s="159" t="s">
        <v>513</v>
      </c>
      <c r="D46" s="160"/>
      <c r="E46" s="161"/>
      <c r="F46" s="60"/>
    </row>
    <row r="47" spans="1:6" ht="15.75" thickBot="1" x14ac:dyDescent="0.3">
      <c r="A47" s="70"/>
      <c r="B47" s="71"/>
      <c r="C47" s="71"/>
      <c r="D47" s="71"/>
      <c r="E47" s="71"/>
      <c r="F47" s="71"/>
    </row>
    <row r="48" spans="1:6" ht="48" customHeight="1" x14ac:dyDescent="0.25">
      <c r="A48" s="152" t="s">
        <v>508</v>
      </c>
      <c r="B48" s="154">
        <v>2025</v>
      </c>
      <c r="C48" s="156" t="s">
        <v>511</v>
      </c>
      <c r="D48" s="157"/>
      <c r="E48" s="158"/>
      <c r="F48" s="63"/>
    </row>
    <row r="49" spans="1:6" ht="48" customHeight="1" x14ac:dyDescent="0.25">
      <c r="A49" s="153"/>
      <c r="B49" s="155"/>
      <c r="C49" s="159" t="s">
        <v>512</v>
      </c>
      <c r="D49" s="160"/>
      <c r="E49" s="161"/>
      <c r="F49" s="60"/>
    </row>
    <row r="50" spans="1:6" ht="48" customHeight="1" thickBot="1" x14ac:dyDescent="0.3">
      <c r="A50" s="153"/>
      <c r="B50" s="155"/>
      <c r="C50" s="159" t="s">
        <v>513</v>
      </c>
      <c r="D50" s="160"/>
      <c r="E50" s="161"/>
      <c r="F50" s="60"/>
    </row>
    <row r="51" spans="1:6" ht="15.75" thickBot="1" x14ac:dyDescent="0.3">
      <c r="A51" s="70"/>
      <c r="B51" s="71"/>
      <c r="C51" s="71"/>
      <c r="D51" s="71"/>
      <c r="E51" s="71"/>
      <c r="F51" s="71"/>
    </row>
    <row r="52" spans="1:6" ht="48" customHeight="1" x14ac:dyDescent="0.25">
      <c r="A52" s="152" t="s">
        <v>509</v>
      </c>
      <c r="B52" s="154">
        <v>2025</v>
      </c>
      <c r="C52" s="156" t="s">
        <v>511</v>
      </c>
      <c r="D52" s="157"/>
      <c r="E52" s="158"/>
      <c r="F52" s="63"/>
    </row>
    <row r="53" spans="1:6" ht="48" customHeight="1" x14ac:dyDescent="0.25">
      <c r="A53" s="153"/>
      <c r="B53" s="155"/>
      <c r="C53" s="159" t="s">
        <v>512</v>
      </c>
      <c r="D53" s="160"/>
      <c r="E53" s="161"/>
      <c r="F53" s="60"/>
    </row>
    <row r="54" spans="1:6" ht="48" customHeight="1" thickBot="1" x14ac:dyDescent="0.3">
      <c r="A54" s="153"/>
      <c r="B54" s="155"/>
      <c r="C54" s="159" t="s">
        <v>513</v>
      </c>
      <c r="D54" s="160"/>
      <c r="E54" s="161"/>
      <c r="F54" s="60"/>
    </row>
    <row r="55" spans="1:6" ht="15.75" thickBot="1" x14ac:dyDescent="0.3">
      <c r="A55" s="70"/>
      <c r="B55" s="71"/>
      <c r="C55" s="71"/>
      <c r="D55" s="71"/>
      <c r="E55" s="71"/>
      <c r="F55" s="71"/>
    </row>
    <row r="56" spans="1:6" ht="48" customHeight="1" x14ac:dyDescent="0.25">
      <c r="A56" s="152" t="s">
        <v>510</v>
      </c>
      <c r="B56" s="154">
        <v>2025</v>
      </c>
      <c r="C56" s="156" t="s">
        <v>511</v>
      </c>
      <c r="D56" s="157"/>
      <c r="E56" s="158"/>
      <c r="F56" s="63"/>
    </row>
    <row r="57" spans="1:6" ht="48" customHeight="1" x14ac:dyDescent="0.25">
      <c r="A57" s="153"/>
      <c r="B57" s="155"/>
      <c r="C57" s="159" t="s">
        <v>512</v>
      </c>
      <c r="D57" s="160"/>
      <c r="E57" s="161"/>
      <c r="F57" s="60"/>
    </row>
    <row r="58" spans="1:6" ht="48" customHeight="1" thickBot="1" x14ac:dyDescent="0.3">
      <c r="A58" s="153"/>
      <c r="B58" s="155"/>
      <c r="C58" s="159" t="s">
        <v>513</v>
      </c>
      <c r="D58" s="160"/>
      <c r="E58" s="161"/>
      <c r="F58" s="60"/>
    </row>
    <row r="59" spans="1:6" ht="15.75" thickBot="1" x14ac:dyDescent="0.3">
      <c r="A59" s="70"/>
      <c r="B59" s="71"/>
      <c r="C59" s="71"/>
      <c r="D59" s="71"/>
      <c r="E59" s="71"/>
      <c r="F59" s="71"/>
    </row>
    <row r="60" spans="1:6" ht="48" customHeight="1" x14ac:dyDescent="0.25">
      <c r="A60" s="152" t="s">
        <v>483</v>
      </c>
      <c r="B60" s="154">
        <v>2025</v>
      </c>
      <c r="C60" s="156" t="s">
        <v>511</v>
      </c>
      <c r="D60" s="157"/>
      <c r="E60" s="158"/>
      <c r="F60" s="63"/>
    </row>
    <row r="61" spans="1:6" ht="48" customHeight="1" x14ac:dyDescent="0.25">
      <c r="A61" s="153"/>
      <c r="B61" s="155"/>
      <c r="C61" s="159" t="s">
        <v>512</v>
      </c>
      <c r="D61" s="160"/>
      <c r="E61" s="161"/>
      <c r="F61" s="60"/>
    </row>
    <row r="62" spans="1:6" ht="48" customHeight="1" thickBot="1" x14ac:dyDescent="0.3">
      <c r="A62" s="153"/>
      <c r="B62" s="155"/>
      <c r="C62" s="159" t="s">
        <v>513</v>
      </c>
      <c r="D62" s="160"/>
      <c r="E62" s="161"/>
      <c r="F62" s="60"/>
    </row>
    <row r="63" spans="1:6" ht="15.75" thickBot="1" x14ac:dyDescent="0.3">
      <c r="A63" s="70"/>
      <c r="B63" s="71"/>
      <c r="C63" s="71"/>
      <c r="D63" s="71"/>
      <c r="E63" s="71"/>
      <c r="F63" s="71"/>
    </row>
  </sheetData>
  <sheetProtection algorithmName="SHA-512" hashValue="VrLc4H5peF6tS+JtTp3K/OHyzNZS+aJkWYRWAEwSUmmUvcxwxo6zXb8EXiON3hQQ68Pco44XPxVXKL3d6Lzj8A==" saltValue="Jt4Q29BWdxDUAWzklbDXjw==" spinCount="100000" sheet="1" objects="1" scenarios="1"/>
  <mergeCells count="89">
    <mergeCell ref="A4:J4"/>
    <mergeCell ref="A20:A22"/>
    <mergeCell ref="B20:B22"/>
    <mergeCell ref="C20:E20"/>
    <mergeCell ref="C21:E21"/>
    <mergeCell ref="A8:C9"/>
    <mergeCell ref="A12:G12"/>
    <mergeCell ref="A32:A34"/>
    <mergeCell ref="B32:B34"/>
    <mergeCell ref="C29:E29"/>
    <mergeCell ref="C30:E30"/>
    <mergeCell ref="A28:A30"/>
    <mergeCell ref="B28:B30"/>
    <mergeCell ref="C28:E28"/>
    <mergeCell ref="C32:E32"/>
    <mergeCell ref="C33:E33"/>
    <mergeCell ref="C34:E34"/>
    <mergeCell ref="A44:A46"/>
    <mergeCell ref="B44:B46"/>
    <mergeCell ref="C44:E44"/>
    <mergeCell ref="C45:E45"/>
    <mergeCell ref="C46:E46"/>
    <mergeCell ref="C58:E58"/>
    <mergeCell ref="A48:A50"/>
    <mergeCell ref="B48:B50"/>
    <mergeCell ref="C48:E48"/>
    <mergeCell ref="C49:E49"/>
    <mergeCell ref="C50:E50"/>
    <mergeCell ref="A56:A58"/>
    <mergeCell ref="B56:B58"/>
    <mergeCell ref="C56:E56"/>
    <mergeCell ref="C57:E57"/>
    <mergeCell ref="A52:A54"/>
    <mergeCell ref="B52:B54"/>
    <mergeCell ref="C52:E52"/>
    <mergeCell ref="C53:E53"/>
    <mergeCell ref="C54:E54"/>
    <mergeCell ref="A2:J2"/>
    <mergeCell ref="A3:J3"/>
    <mergeCell ref="A16:A18"/>
    <mergeCell ref="B16:B18"/>
    <mergeCell ref="C22:E22"/>
    <mergeCell ref="A14:B14"/>
    <mergeCell ref="H9:J9"/>
    <mergeCell ref="H10:J10"/>
    <mergeCell ref="A10:C10"/>
    <mergeCell ref="F10:G10"/>
    <mergeCell ref="D8:E9"/>
    <mergeCell ref="F9:G9"/>
    <mergeCell ref="A6:C6"/>
    <mergeCell ref="A7:C7"/>
    <mergeCell ref="A5:J5"/>
    <mergeCell ref="H12:J12"/>
    <mergeCell ref="C1:E1"/>
    <mergeCell ref="G1:J1"/>
    <mergeCell ref="C18:E18"/>
    <mergeCell ref="C17:E17"/>
    <mergeCell ref="C16:E16"/>
    <mergeCell ref="D6:E6"/>
    <mergeCell ref="D7:E7"/>
    <mergeCell ref="C14:E14"/>
    <mergeCell ref="F8:G8"/>
    <mergeCell ref="F7:G7"/>
    <mergeCell ref="F6:G6"/>
    <mergeCell ref="A13:J13"/>
    <mergeCell ref="A11:J11"/>
    <mergeCell ref="H6:J6"/>
    <mergeCell ref="H7:J7"/>
    <mergeCell ref="H8:J8"/>
    <mergeCell ref="A24:A26"/>
    <mergeCell ref="B24:B26"/>
    <mergeCell ref="C24:E24"/>
    <mergeCell ref="C25:E25"/>
    <mergeCell ref="C26:E26"/>
    <mergeCell ref="B40:B42"/>
    <mergeCell ref="C40:E40"/>
    <mergeCell ref="C41:E41"/>
    <mergeCell ref="C42:E42"/>
    <mergeCell ref="A36:A38"/>
    <mergeCell ref="B36:B38"/>
    <mergeCell ref="C36:E36"/>
    <mergeCell ref="C37:E37"/>
    <mergeCell ref="C38:E38"/>
    <mergeCell ref="A40:A42"/>
    <mergeCell ref="A60:A62"/>
    <mergeCell ref="B60:B62"/>
    <mergeCell ref="C60:E60"/>
    <mergeCell ref="C61:E61"/>
    <mergeCell ref="C62:E62"/>
  </mergeCells>
  <hyperlinks>
    <hyperlink ref="H12" r:id="rId1" xr:uid="{6C9D1DA6-33E7-4221-8775-1B338E663A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2FBD-A723-4703-A897-B4788770AC14}">
  <dimension ref="A1:H16"/>
  <sheetViews>
    <sheetView workbookViewId="0">
      <selection activeCell="N10" sqref="N10"/>
    </sheetView>
  </sheetViews>
  <sheetFormatPr defaultRowHeight="15" x14ac:dyDescent="0.25"/>
  <cols>
    <col min="1" max="1" width="21.42578125" style="73" customWidth="1"/>
    <col min="2" max="2" width="13.7109375" style="73" customWidth="1"/>
    <col min="3" max="3" width="12" style="73" customWidth="1"/>
    <col min="4" max="4" width="16.28515625" style="73" customWidth="1"/>
    <col min="5" max="5" width="12.28515625" style="73" customWidth="1"/>
    <col min="6" max="6" width="14.28515625" style="73" customWidth="1"/>
    <col min="7" max="7" width="13.42578125" style="73" customWidth="1"/>
    <col min="8" max="8" width="12" style="73" hidden="1" customWidth="1"/>
    <col min="9" max="9" width="8" style="73" customWidth="1"/>
    <col min="10" max="16384" width="9.140625" style="73"/>
  </cols>
  <sheetData>
    <row r="1" spans="1:7" ht="18.75" x14ac:dyDescent="0.25">
      <c r="A1" s="214" t="s">
        <v>515</v>
      </c>
      <c r="B1" s="215"/>
      <c r="C1" s="215"/>
      <c r="D1" s="216"/>
      <c r="E1" s="72"/>
      <c r="F1" s="72"/>
      <c r="G1" s="72"/>
    </row>
    <row r="2" spans="1:7" x14ac:dyDescent="0.25">
      <c r="A2" s="74" t="s">
        <v>506</v>
      </c>
      <c r="B2" s="217" t="s">
        <v>516</v>
      </c>
      <c r="C2" s="218"/>
      <c r="D2" s="218"/>
      <c r="E2" s="218"/>
      <c r="F2" s="218"/>
      <c r="G2" s="218"/>
    </row>
    <row r="3" spans="1:7" ht="60" x14ac:dyDescent="0.25">
      <c r="A3" s="75"/>
      <c r="B3" s="76" t="s">
        <v>517</v>
      </c>
      <c r="C3" s="76" t="s">
        <v>518</v>
      </c>
      <c r="D3" s="76" t="s">
        <v>519</v>
      </c>
      <c r="E3" s="76" t="s">
        <v>520</v>
      </c>
      <c r="F3" s="76" t="s">
        <v>521</v>
      </c>
      <c r="G3" s="77" t="s">
        <v>522</v>
      </c>
    </row>
    <row r="4" spans="1:7" x14ac:dyDescent="0.25">
      <c r="A4" s="78" t="s">
        <v>523</v>
      </c>
      <c r="B4" s="79"/>
      <c r="C4" s="80"/>
      <c r="D4" s="80"/>
      <c r="E4" s="80"/>
      <c r="F4" s="80"/>
      <c r="G4" s="80"/>
    </row>
    <row r="5" spans="1:7" x14ac:dyDescent="0.25">
      <c r="A5" s="78" t="s">
        <v>524</v>
      </c>
      <c r="B5" s="79"/>
      <c r="C5" s="80"/>
      <c r="D5" s="80"/>
      <c r="E5" s="80"/>
      <c r="F5" s="80"/>
      <c r="G5" s="80"/>
    </row>
    <row r="6" spans="1:7" x14ac:dyDescent="0.25">
      <c r="A6" s="78" t="s">
        <v>525</v>
      </c>
      <c r="B6" s="80"/>
      <c r="C6" s="80"/>
      <c r="D6" s="80"/>
      <c r="E6" s="80"/>
      <c r="F6" s="80"/>
      <c r="G6" s="80"/>
    </row>
    <row r="7" spans="1:7" x14ac:dyDescent="0.25">
      <c r="A7" s="78" t="s">
        <v>526</v>
      </c>
      <c r="B7" s="80"/>
      <c r="C7" s="80"/>
      <c r="D7" s="80"/>
      <c r="E7" s="80"/>
      <c r="F7" s="80"/>
      <c r="G7" s="80"/>
    </row>
    <row r="8" spans="1:7" x14ac:dyDescent="0.25">
      <c r="A8" s="78" t="s">
        <v>527</v>
      </c>
      <c r="B8" s="80"/>
      <c r="C8" s="80"/>
      <c r="D8" s="80"/>
      <c r="E8" s="80"/>
      <c r="F8" s="80"/>
      <c r="G8" s="80"/>
    </row>
    <row r="9" spans="1:7" x14ac:dyDescent="0.25">
      <c r="A9" s="78" t="s">
        <v>528</v>
      </c>
      <c r="B9" s="80"/>
      <c r="C9" s="80"/>
      <c r="D9" s="80"/>
      <c r="E9" s="80"/>
      <c r="F9" s="80"/>
      <c r="G9" s="80"/>
    </row>
    <row r="10" spans="1:7" x14ac:dyDescent="0.25">
      <c r="A10" s="78" t="s">
        <v>529</v>
      </c>
      <c r="B10" s="80"/>
      <c r="C10" s="80"/>
      <c r="D10" s="80"/>
      <c r="E10" s="80"/>
      <c r="F10" s="80"/>
      <c r="G10" s="80"/>
    </row>
    <row r="11" spans="1:7" x14ac:dyDescent="0.25">
      <c r="A11" s="78" t="s">
        <v>530</v>
      </c>
      <c r="B11" s="80"/>
      <c r="C11" s="80"/>
      <c r="D11" s="80"/>
      <c r="E11" s="80"/>
      <c r="F11" s="80"/>
      <c r="G11" s="80"/>
    </row>
    <row r="12" spans="1:7" x14ac:dyDescent="0.25">
      <c r="A12" s="78" t="s">
        <v>531</v>
      </c>
      <c r="B12" s="80"/>
      <c r="C12" s="80"/>
      <c r="D12" s="80"/>
      <c r="E12" s="80"/>
      <c r="F12" s="80"/>
      <c r="G12" s="80"/>
    </row>
    <row r="13" spans="1:7" x14ac:dyDescent="0.25">
      <c r="A13" s="78" t="s">
        <v>532</v>
      </c>
      <c r="B13" s="80"/>
      <c r="C13" s="80"/>
      <c r="D13" s="80"/>
      <c r="E13" s="80"/>
      <c r="F13" s="80"/>
      <c r="G13" s="80"/>
    </row>
    <row r="14" spans="1:7" ht="39" customHeight="1" x14ac:dyDescent="0.25">
      <c r="A14" s="78" t="s">
        <v>533</v>
      </c>
      <c r="B14" s="80"/>
      <c r="C14" s="80"/>
      <c r="D14" s="80"/>
      <c r="E14" s="80"/>
      <c r="F14" s="80"/>
      <c r="G14" s="80"/>
    </row>
    <row r="15" spans="1:7" x14ac:dyDescent="0.25">
      <c r="A15" s="78" t="s">
        <v>534</v>
      </c>
      <c r="B15" s="80"/>
      <c r="C15" s="80"/>
      <c r="D15" s="80"/>
      <c r="E15" s="80"/>
      <c r="F15" s="80"/>
      <c r="G15" s="80"/>
    </row>
    <row r="16" spans="1:7" ht="30" x14ac:dyDescent="0.25">
      <c r="A16" s="78" t="s">
        <v>535</v>
      </c>
      <c r="B16" s="80"/>
      <c r="C16" s="80"/>
      <c r="D16" s="80"/>
      <c r="E16" s="80"/>
      <c r="F16" s="80"/>
      <c r="G16" s="80"/>
    </row>
  </sheetData>
  <sheetProtection algorithmName="SHA-512" hashValue="h9fiSAg4X8y4RP8rjuPdPu2HzjmgRVFSJ1Pc1fo1YAOlqfKM4QsjYuXeoAHhNXIo8BLrlPF8b6lcvrr/eWMAgg==" saltValue="se23uFdJVm4jcqQtodY9eg==" spinCount="100000" sheet="1" objects="1" scenarios="1"/>
  <mergeCells count="2">
    <mergeCell ref="A1:D1"/>
    <mergeCell ref="B2:G2"/>
  </mergeCells>
  <conditionalFormatting sqref="A4:A16">
    <cfRule type="expression" dxfId="1" priority="2">
      <formula>#REF!&gt;=6/1/2020</formula>
    </cfRule>
  </conditionalFormatting>
  <conditionalFormatting sqref="B4:B5">
    <cfRule type="expression" dxfId="0"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462C-42A7-41C1-8BB0-6D8C87E5C3CC}">
  <sheetPr>
    <tabColor rgb="FF0070C0"/>
  </sheetPr>
  <dimension ref="A1:AQ111"/>
  <sheetViews>
    <sheetView workbookViewId="0">
      <pane ySplit="1" topLeftCell="A7" activePane="bottomLeft" state="frozen"/>
      <selection pane="bottomLeft" activeCell="L13" sqref="L13:P13"/>
    </sheetView>
  </sheetViews>
  <sheetFormatPr defaultRowHeight="15" x14ac:dyDescent="0.25"/>
  <cols>
    <col min="1" max="7" width="4.7109375" customWidth="1"/>
    <col min="8" max="8" width="6" customWidth="1"/>
    <col min="9" max="9" width="5.85546875" customWidth="1"/>
    <col min="10" max="10" width="5.7109375" customWidth="1"/>
    <col min="11" max="11" width="6.5703125" customWidth="1"/>
    <col min="12" max="82" width="4.7109375" customWidth="1"/>
  </cols>
  <sheetData>
    <row r="1" spans="1:43" ht="45" customHeight="1" x14ac:dyDescent="0.25">
      <c r="A1" s="22" t="s">
        <v>278</v>
      </c>
      <c r="B1" s="262" t="s">
        <v>301</v>
      </c>
      <c r="C1" s="262"/>
      <c r="D1" s="262"/>
      <c r="E1" s="263" t="s">
        <v>302</v>
      </c>
      <c r="F1" s="263"/>
      <c r="G1" s="263"/>
      <c r="H1" s="263" t="s">
        <v>303</v>
      </c>
      <c r="I1" s="263"/>
      <c r="J1" s="263"/>
      <c r="K1" s="263"/>
      <c r="L1" s="263" t="s">
        <v>304</v>
      </c>
      <c r="M1" s="263"/>
      <c r="N1" s="263"/>
      <c r="O1" s="263"/>
      <c r="P1" s="263"/>
      <c r="Q1" s="223" t="s">
        <v>309</v>
      </c>
      <c r="R1" s="223"/>
      <c r="S1" s="223"/>
      <c r="T1" s="223"/>
      <c r="U1" s="223"/>
      <c r="V1" s="223"/>
      <c r="W1" s="223"/>
      <c r="X1" s="223"/>
      <c r="Y1" s="223"/>
      <c r="Z1" s="223"/>
      <c r="AA1" s="223" t="s">
        <v>325</v>
      </c>
      <c r="AB1" s="223"/>
      <c r="AC1" s="223"/>
      <c r="AD1" s="223"/>
      <c r="AE1" s="223"/>
      <c r="AF1" s="223"/>
      <c r="AG1" s="223"/>
      <c r="AH1" s="223"/>
      <c r="AI1" s="223"/>
      <c r="AJ1" s="223"/>
      <c r="AK1" s="224" t="s">
        <v>297</v>
      </c>
      <c r="AL1" s="225"/>
      <c r="AM1" s="225"/>
      <c r="AN1" s="225"/>
      <c r="AO1" s="225"/>
      <c r="AP1" s="225"/>
      <c r="AQ1" s="226"/>
    </row>
    <row r="2" spans="1:43" ht="18.75" x14ac:dyDescent="0.25">
      <c r="A2" s="227" t="str">
        <f>'BASE GRANTEE INFO &amp; UPDATE'!A1</f>
        <v>WV Bureau For Behavioral Health-Quick Response Team 2025</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8"/>
    </row>
    <row r="3" spans="1:43" ht="16.5" customHeight="1" x14ac:dyDescent="0.25">
      <c r="A3" s="229" t="str">
        <f>'BASE GRANTEE INFO &amp; UPDATE'!A3</f>
        <v xml:space="preserve">Program reports need to be submitted electronically, via e-mail to BBHReporting@wv.gov  within 25 calendar days of the end of each month </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30"/>
    </row>
    <row r="4" spans="1:43" ht="15.75" customHeight="1" x14ac:dyDescent="0.25">
      <c r="A4" s="231" t="s">
        <v>299</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row>
    <row r="5" spans="1:43" x14ac:dyDescent="0.25">
      <c r="A5" s="233" t="s">
        <v>0</v>
      </c>
      <c r="B5" s="234"/>
      <c r="C5" s="234"/>
      <c r="D5" s="234"/>
      <c r="E5" s="234"/>
      <c r="F5" s="234"/>
      <c r="G5" s="234"/>
      <c r="H5" s="234"/>
      <c r="I5" s="234"/>
      <c r="J5" s="234"/>
      <c r="K5" s="234"/>
      <c r="L5" s="234"/>
      <c r="M5" s="235"/>
      <c r="N5" s="222" t="str">
        <f>'BASE GRANTEE INFO &amp; UPDATE'!N5</f>
        <v>Quick Response Team</v>
      </c>
      <c r="O5" s="222"/>
      <c r="P5" s="222"/>
      <c r="Q5" s="222"/>
      <c r="R5" s="222"/>
      <c r="S5" s="222"/>
      <c r="T5" s="222"/>
      <c r="U5" s="222"/>
      <c r="V5" s="222"/>
      <c r="W5" s="222"/>
      <c r="X5" s="222"/>
      <c r="Y5" s="222"/>
      <c r="Z5" s="1"/>
      <c r="AA5" s="236" t="s">
        <v>1</v>
      </c>
      <c r="AB5" s="236"/>
      <c r="AC5" s="236"/>
      <c r="AD5" s="236"/>
      <c r="AE5" s="236"/>
      <c r="AF5" s="222">
        <f>'BASE GRANTEE INFO &amp; UPDATE'!AF5</f>
        <v>0</v>
      </c>
      <c r="AG5" s="222"/>
      <c r="AH5" s="222"/>
      <c r="AI5" s="222"/>
      <c r="AJ5" s="222"/>
      <c r="AK5" s="222"/>
      <c r="AL5" s="222"/>
      <c r="AM5" s="222"/>
      <c r="AN5" s="222"/>
      <c r="AO5" s="222"/>
      <c r="AP5" s="222"/>
      <c r="AQ5" s="222"/>
    </row>
    <row r="6" spans="1:43" x14ac:dyDescent="0.25">
      <c r="A6" s="233" t="s">
        <v>2</v>
      </c>
      <c r="B6" s="234"/>
      <c r="C6" s="234"/>
      <c r="D6" s="234"/>
      <c r="E6" s="234"/>
      <c r="F6" s="234"/>
      <c r="G6" s="234"/>
      <c r="H6" s="234"/>
      <c r="I6" s="234"/>
      <c r="J6" s="234"/>
      <c r="K6" s="234"/>
      <c r="L6" s="234"/>
      <c r="M6" s="235"/>
      <c r="N6" s="222">
        <f>'BASE GRANTEE INFO &amp; UPDATE'!N6</f>
        <v>0</v>
      </c>
      <c r="O6" s="222"/>
      <c r="P6" s="222"/>
      <c r="Q6" s="222"/>
      <c r="R6" s="222"/>
      <c r="S6" s="222"/>
      <c r="T6" s="222"/>
      <c r="U6" s="222"/>
      <c r="V6" s="222"/>
      <c r="W6" s="222"/>
      <c r="X6" s="222"/>
      <c r="Y6" s="222"/>
      <c r="Z6" s="2"/>
      <c r="AA6" s="220" t="s">
        <v>3</v>
      </c>
      <c r="AB6" s="220"/>
      <c r="AC6" s="220"/>
      <c r="AD6" s="220"/>
      <c r="AE6" s="220"/>
      <c r="AF6" s="222">
        <f>'BASE GRANTEE INFO &amp; UPDATE'!AF6</f>
        <v>0</v>
      </c>
      <c r="AG6" s="222"/>
      <c r="AH6" s="222"/>
      <c r="AI6" s="222"/>
      <c r="AJ6" s="222"/>
      <c r="AK6" s="222"/>
      <c r="AL6" s="222"/>
      <c r="AM6" s="222"/>
      <c r="AN6" s="222"/>
      <c r="AO6" s="222"/>
      <c r="AP6" s="222"/>
      <c r="AQ6" s="222"/>
    </row>
    <row r="7" spans="1:43" ht="15" customHeight="1" x14ac:dyDescent="0.25">
      <c r="A7" s="237" t="s">
        <v>4</v>
      </c>
      <c r="B7" s="238"/>
      <c r="C7" s="238"/>
      <c r="D7" s="238"/>
      <c r="E7" s="238"/>
      <c r="F7" s="238"/>
      <c r="G7" s="238"/>
      <c r="H7" s="238"/>
      <c r="I7" s="238"/>
      <c r="J7" s="238"/>
      <c r="K7" s="238"/>
      <c r="L7" s="238"/>
      <c r="M7" s="239"/>
      <c r="N7" s="243">
        <f>'BASE GRANTEE INFO &amp; UPDATE'!N7</f>
        <v>0</v>
      </c>
      <c r="O7" s="243"/>
      <c r="P7" s="243"/>
      <c r="Q7" s="243"/>
      <c r="R7" s="243"/>
      <c r="S7" s="243"/>
      <c r="T7" s="243"/>
      <c r="U7" s="243"/>
      <c r="V7" s="243"/>
      <c r="W7" s="243"/>
      <c r="X7" s="243"/>
      <c r="Y7" s="243"/>
      <c r="Z7" s="2"/>
      <c r="AA7" s="244" t="s">
        <v>277</v>
      </c>
      <c r="AB7" s="244"/>
      <c r="AC7" s="244"/>
      <c r="AD7" s="244"/>
      <c r="AE7" s="244"/>
      <c r="AF7" s="222">
        <f>'BASE GRANTEE INFO &amp; UPDATE'!AF7</f>
        <v>0</v>
      </c>
      <c r="AG7" s="222"/>
      <c r="AH7" s="222"/>
      <c r="AI7" s="222"/>
      <c r="AJ7" s="222"/>
      <c r="AK7" s="222"/>
      <c r="AL7" s="222"/>
      <c r="AM7" s="222"/>
      <c r="AN7" s="222"/>
      <c r="AO7" s="222"/>
      <c r="AP7" s="222"/>
      <c r="AQ7" s="222"/>
    </row>
    <row r="8" spans="1:43" x14ac:dyDescent="0.25">
      <c r="A8" s="240"/>
      <c r="B8" s="241"/>
      <c r="C8" s="241"/>
      <c r="D8" s="241"/>
      <c r="E8" s="241"/>
      <c r="F8" s="241"/>
      <c r="G8" s="241"/>
      <c r="H8" s="241"/>
      <c r="I8" s="241"/>
      <c r="J8" s="241"/>
      <c r="K8" s="241"/>
      <c r="L8" s="241"/>
      <c r="M8" s="242"/>
      <c r="N8" s="243"/>
      <c r="O8" s="243"/>
      <c r="P8" s="243"/>
      <c r="Q8" s="243"/>
      <c r="R8" s="243"/>
      <c r="S8" s="243"/>
      <c r="T8" s="243"/>
      <c r="U8" s="243"/>
      <c r="V8" s="243"/>
      <c r="W8" s="243"/>
      <c r="X8" s="243"/>
      <c r="Y8" s="243"/>
      <c r="Z8" s="2"/>
      <c r="AA8" s="244" t="s">
        <v>5</v>
      </c>
      <c r="AB8" s="244"/>
      <c r="AC8" s="244"/>
      <c r="AD8" s="244"/>
      <c r="AE8" s="244"/>
      <c r="AF8" s="222">
        <f>'BASE GRANTEE INFO &amp; UPDATE'!AF8</f>
        <v>0</v>
      </c>
      <c r="AG8" s="222"/>
      <c r="AH8" s="222"/>
      <c r="AI8" s="222"/>
      <c r="AJ8" s="222"/>
      <c r="AK8" s="222"/>
      <c r="AL8" s="222"/>
      <c r="AM8" s="222"/>
      <c r="AN8" s="222"/>
      <c r="AO8" s="222"/>
      <c r="AP8" s="222"/>
      <c r="AQ8" s="222"/>
    </row>
    <row r="9" spans="1:43" ht="15.75" customHeight="1" x14ac:dyDescent="0.25">
      <c r="A9" s="245" t="s">
        <v>6</v>
      </c>
      <c r="B9" s="246"/>
      <c r="C9" s="246"/>
      <c r="D9" s="246"/>
      <c r="E9" s="246"/>
      <c r="F9" s="246"/>
      <c r="G9" s="246"/>
      <c r="H9" s="246"/>
      <c r="I9" s="246"/>
      <c r="J9" s="246"/>
      <c r="K9" s="246"/>
      <c r="L9" s="246"/>
      <c r="M9" s="247"/>
      <c r="N9" s="248" t="str">
        <f>'BASE GRANTEE INFO &amp; UPDATE'!N9</f>
        <v>September 1 - 30</v>
      </c>
      <c r="O9" s="248"/>
      <c r="P9" s="248"/>
      <c r="Q9" s="248"/>
      <c r="R9" s="248"/>
      <c r="S9" s="248"/>
      <c r="T9" s="248"/>
      <c r="U9" s="248"/>
      <c r="V9" s="248">
        <f>'BASE GRANTEE INFO &amp; UPDATE'!V9</f>
        <v>2024</v>
      </c>
      <c r="W9" s="248"/>
      <c r="X9" s="248"/>
      <c r="Y9" s="248"/>
      <c r="Z9" s="2"/>
      <c r="AA9" s="221" t="s">
        <v>8</v>
      </c>
      <c r="AB9" s="221"/>
      <c r="AC9" s="221"/>
      <c r="AD9" s="221"/>
      <c r="AE9" s="221"/>
      <c r="AF9" s="222">
        <f>'BASE GRANTEE INFO &amp; UPDATE'!AF9</f>
        <v>0</v>
      </c>
      <c r="AG9" s="222"/>
      <c r="AH9" s="222"/>
      <c r="AI9" s="222"/>
      <c r="AJ9" s="222"/>
      <c r="AK9" s="222"/>
      <c r="AL9" s="222"/>
      <c r="AM9" s="222"/>
      <c r="AN9" s="222"/>
      <c r="AO9" s="222"/>
      <c r="AP9" s="222"/>
      <c r="AQ9" s="222"/>
    </row>
    <row r="10" spans="1:43" x14ac:dyDescent="0.25">
      <c r="A10" s="219" t="s">
        <v>300</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row>
    <row r="11" spans="1:43" ht="60" customHeight="1" x14ac:dyDescent="0.25">
      <c r="A11" s="20" t="s">
        <v>278</v>
      </c>
      <c r="B11" s="260" t="s">
        <v>481</v>
      </c>
      <c r="C11" s="260"/>
      <c r="D11" s="260"/>
      <c r="E11" s="261" t="s">
        <v>302</v>
      </c>
      <c r="F11" s="261"/>
      <c r="G11" s="261"/>
      <c r="H11" s="261" t="s">
        <v>303</v>
      </c>
      <c r="I11" s="261"/>
      <c r="J11" s="261"/>
      <c r="K11" s="261"/>
      <c r="L11" s="261" t="s">
        <v>304</v>
      </c>
      <c r="M11" s="261"/>
      <c r="N11" s="261"/>
      <c r="O11" s="261"/>
      <c r="P11" s="261"/>
      <c r="Q11" s="256" t="s">
        <v>309</v>
      </c>
      <c r="R11" s="256"/>
      <c r="S11" s="256"/>
      <c r="T11" s="256"/>
      <c r="U11" s="256"/>
      <c r="V11" s="256"/>
      <c r="W11" s="256"/>
      <c r="X11" s="256"/>
      <c r="Y11" s="256"/>
      <c r="Z11" s="256"/>
      <c r="AA11" s="256" t="s">
        <v>325</v>
      </c>
      <c r="AB11" s="256"/>
      <c r="AC11" s="256"/>
      <c r="AD11" s="256"/>
      <c r="AE11" s="256"/>
      <c r="AF11" s="256"/>
      <c r="AG11" s="256"/>
      <c r="AH11" s="256"/>
      <c r="AI11" s="256"/>
      <c r="AJ11" s="256"/>
      <c r="AK11" s="250" t="s">
        <v>297</v>
      </c>
      <c r="AL11" s="251"/>
      <c r="AM11" s="251"/>
      <c r="AN11" s="251"/>
      <c r="AO11" s="251"/>
      <c r="AP11" s="251"/>
      <c r="AQ11" s="252"/>
    </row>
    <row r="12" spans="1:43" ht="39.950000000000003" customHeight="1" x14ac:dyDescent="0.25">
      <c r="A12" s="21">
        <f>ROW(A1)</f>
        <v>1</v>
      </c>
      <c r="B12" s="259" t="s">
        <v>316</v>
      </c>
      <c r="C12" s="259"/>
      <c r="D12" s="259"/>
      <c r="E12" s="258"/>
      <c r="F12" s="258"/>
      <c r="G12" s="258"/>
      <c r="H12" s="257"/>
      <c r="I12" s="257"/>
      <c r="J12" s="257"/>
      <c r="K12" s="257"/>
      <c r="L12" s="258"/>
      <c r="M12" s="258"/>
      <c r="N12" s="258"/>
      <c r="O12" s="258"/>
      <c r="P12" s="258"/>
      <c r="Q12" s="249"/>
      <c r="R12" s="249"/>
      <c r="S12" s="249"/>
      <c r="T12" s="249"/>
      <c r="U12" s="249"/>
      <c r="V12" s="249"/>
      <c r="W12" s="249"/>
      <c r="X12" s="249"/>
      <c r="Y12" s="249"/>
      <c r="Z12" s="249"/>
      <c r="AA12" s="249"/>
      <c r="AB12" s="249"/>
      <c r="AC12" s="249"/>
      <c r="AD12" s="249"/>
      <c r="AE12" s="249"/>
      <c r="AF12" s="249"/>
      <c r="AG12" s="249"/>
      <c r="AH12" s="249"/>
      <c r="AI12" s="249"/>
      <c r="AJ12" s="249"/>
      <c r="AK12" s="253"/>
      <c r="AL12" s="254"/>
      <c r="AM12" s="254"/>
      <c r="AN12" s="254"/>
      <c r="AO12" s="254"/>
      <c r="AP12" s="254"/>
      <c r="AQ12" s="255"/>
    </row>
    <row r="13" spans="1:43" ht="39.950000000000003" customHeight="1" x14ac:dyDescent="0.25">
      <c r="A13" s="21">
        <f t="shared" ref="A13:A76" si="0">ROW(A2)</f>
        <v>2</v>
      </c>
      <c r="B13" s="259" t="s">
        <v>316</v>
      </c>
      <c r="C13" s="259"/>
      <c r="D13" s="259"/>
      <c r="E13" s="258"/>
      <c r="F13" s="258"/>
      <c r="G13" s="258"/>
      <c r="H13" s="257"/>
      <c r="I13" s="257"/>
      <c r="J13" s="257"/>
      <c r="K13" s="257"/>
      <c r="L13" s="258"/>
      <c r="M13" s="258"/>
      <c r="N13" s="258"/>
      <c r="O13" s="258"/>
      <c r="P13" s="258"/>
      <c r="Q13" s="249"/>
      <c r="R13" s="249"/>
      <c r="S13" s="249"/>
      <c r="T13" s="249"/>
      <c r="U13" s="249"/>
      <c r="V13" s="249"/>
      <c r="W13" s="249"/>
      <c r="X13" s="249"/>
      <c r="Y13" s="249"/>
      <c r="Z13" s="249"/>
      <c r="AA13" s="249"/>
      <c r="AB13" s="249"/>
      <c r="AC13" s="249"/>
      <c r="AD13" s="249"/>
      <c r="AE13" s="249"/>
      <c r="AF13" s="249"/>
      <c r="AG13" s="249"/>
      <c r="AH13" s="249"/>
      <c r="AI13" s="249"/>
      <c r="AJ13" s="249"/>
      <c r="AK13" s="253"/>
      <c r="AL13" s="254"/>
      <c r="AM13" s="254"/>
      <c r="AN13" s="254"/>
      <c r="AO13" s="254"/>
      <c r="AP13" s="254"/>
      <c r="AQ13" s="255"/>
    </row>
    <row r="14" spans="1:43" ht="39.950000000000003" customHeight="1" x14ac:dyDescent="0.25">
      <c r="A14" s="21">
        <f t="shared" si="0"/>
        <v>3</v>
      </c>
      <c r="B14" s="259" t="s">
        <v>316</v>
      </c>
      <c r="C14" s="259"/>
      <c r="D14" s="259"/>
      <c r="E14" s="258"/>
      <c r="F14" s="258"/>
      <c r="G14" s="258"/>
      <c r="H14" s="257"/>
      <c r="I14" s="257"/>
      <c r="J14" s="257"/>
      <c r="K14" s="257"/>
      <c r="L14" s="258"/>
      <c r="M14" s="258"/>
      <c r="N14" s="258"/>
      <c r="O14" s="258"/>
      <c r="P14" s="258"/>
      <c r="Q14" s="249"/>
      <c r="R14" s="249"/>
      <c r="S14" s="249"/>
      <c r="T14" s="249"/>
      <c r="U14" s="249"/>
      <c r="V14" s="249"/>
      <c r="W14" s="249"/>
      <c r="X14" s="249"/>
      <c r="Y14" s="249"/>
      <c r="Z14" s="249"/>
      <c r="AA14" s="249"/>
      <c r="AB14" s="249"/>
      <c r="AC14" s="249"/>
      <c r="AD14" s="249"/>
      <c r="AE14" s="249"/>
      <c r="AF14" s="249"/>
      <c r="AG14" s="249"/>
      <c r="AH14" s="249"/>
      <c r="AI14" s="249"/>
      <c r="AJ14" s="249"/>
      <c r="AK14" s="253"/>
      <c r="AL14" s="254"/>
      <c r="AM14" s="254"/>
      <c r="AN14" s="254"/>
      <c r="AO14" s="254"/>
      <c r="AP14" s="254"/>
      <c r="AQ14" s="255"/>
    </row>
    <row r="15" spans="1:43" ht="39.950000000000003" customHeight="1" x14ac:dyDescent="0.25">
      <c r="A15" s="21">
        <f t="shared" si="0"/>
        <v>4</v>
      </c>
      <c r="B15" s="259" t="s">
        <v>316</v>
      </c>
      <c r="C15" s="259"/>
      <c r="D15" s="259"/>
      <c r="E15" s="258"/>
      <c r="F15" s="258"/>
      <c r="G15" s="258"/>
      <c r="H15" s="257"/>
      <c r="I15" s="257"/>
      <c r="J15" s="257"/>
      <c r="K15" s="257"/>
      <c r="L15" s="258"/>
      <c r="M15" s="258"/>
      <c r="N15" s="258"/>
      <c r="O15" s="258"/>
      <c r="P15" s="258"/>
      <c r="Q15" s="249"/>
      <c r="R15" s="249"/>
      <c r="S15" s="249"/>
      <c r="T15" s="249"/>
      <c r="U15" s="249"/>
      <c r="V15" s="249"/>
      <c r="W15" s="249"/>
      <c r="X15" s="249"/>
      <c r="Y15" s="249"/>
      <c r="Z15" s="249"/>
      <c r="AA15" s="249"/>
      <c r="AB15" s="249"/>
      <c r="AC15" s="249"/>
      <c r="AD15" s="249"/>
      <c r="AE15" s="249"/>
      <c r="AF15" s="249"/>
      <c r="AG15" s="249"/>
      <c r="AH15" s="249"/>
      <c r="AI15" s="249"/>
      <c r="AJ15" s="249"/>
      <c r="AK15" s="253"/>
      <c r="AL15" s="254"/>
      <c r="AM15" s="254"/>
      <c r="AN15" s="254"/>
      <c r="AO15" s="254"/>
      <c r="AP15" s="254"/>
      <c r="AQ15" s="255"/>
    </row>
    <row r="16" spans="1:43" ht="39.950000000000003" customHeight="1" x14ac:dyDescent="0.25">
      <c r="A16" s="21">
        <f t="shared" si="0"/>
        <v>5</v>
      </c>
      <c r="B16" s="259" t="s">
        <v>316</v>
      </c>
      <c r="C16" s="259"/>
      <c r="D16" s="259"/>
      <c r="E16" s="258"/>
      <c r="F16" s="258"/>
      <c r="G16" s="258"/>
      <c r="H16" s="257"/>
      <c r="I16" s="257"/>
      <c r="J16" s="257"/>
      <c r="K16" s="257"/>
      <c r="L16" s="258"/>
      <c r="M16" s="258"/>
      <c r="N16" s="258"/>
      <c r="O16" s="258"/>
      <c r="P16" s="258"/>
      <c r="Q16" s="249"/>
      <c r="R16" s="249"/>
      <c r="S16" s="249"/>
      <c r="T16" s="249"/>
      <c r="U16" s="249"/>
      <c r="V16" s="249"/>
      <c r="W16" s="249"/>
      <c r="X16" s="249"/>
      <c r="Y16" s="249"/>
      <c r="Z16" s="249"/>
      <c r="AA16" s="249"/>
      <c r="AB16" s="249"/>
      <c r="AC16" s="249"/>
      <c r="AD16" s="249"/>
      <c r="AE16" s="249"/>
      <c r="AF16" s="249"/>
      <c r="AG16" s="249"/>
      <c r="AH16" s="249"/>
      <c r="AI16" s="249"/>
      <c r="AJ16" s="249"/>
      <c r="AK16" s="253"/>
      <c r="AL16" s="254"/>
      <c r="AM16" s="254"/>
      <c r="AN16" s="254"/>
      <c r="AO16" s="254"/>
      <c r="AP16" s="254"/>
      <c r="AQ16" s="255"/>
    </row>
    <row r="17" spans="1:43" ht="39.950000000000003" customHeight="1" x14ac:dyDescent="0.25">
      <c r="A17" s="21">
        <f t="shared" si="0"/>
        <v>6</v>
      </c>
      <c r="B17" s="259" t="s">
        <v>316</v>
      </c>
      <c r="C17" s="259"/>
      <c r="D17" s="259"/>
      <c r="E17" s="258"/>
      <c r="F17" s="258"/>
      <c r="G17" s="258"/>
      <c r="H17" s="257"/>
      <c r="I17" s="257"/>
      <c r="J17" s="257"/>
      <c r="K17" s="257"/>
      <c r="L17" s="258"/>
      <c r="M17" s="258"/>
      <c r="N17" s="258"/>
      <c r="O17" s="258"/>
      <c r="P17" s="258"/>
      <c r="Q17" s="249"/>
      <c r="R17" s="249"/>
      <c r="S17" s="249"/>
      <c r="T17" s="249"/>
      <c r="U17" s="249"/>
      <c r="V17" s="249"/>
      <c r="W17" s="249"/>
      <c r="X17" s="249"/>
      <c r="Y17" s="249"/>
      <c r="Z17" s="249"/>
      <c r="AA17" s="249"/>
      <c r="AB17" s="249"/>
      <c r="AC17" s="249"/>
      <c r="AD17" s="249"/>
      <c r="AE17" s="249"/>
      <c r="AF17" s="249"/>
      <c r="AG17" s="249"/>
      <c r="AH17" s="249"/>
      <c r="AI17" s="249"/>
      <c r="AJ17" s="249"/>
      <c r="AK17" s="253"/>
      <c r="AL17" s="254"/>
      <c r="AM17" s="254"/>
      <c r="AN17" s="254"/>
      <c r="AO17" s="254"/>
      <c r="AP17" s="254"/>
      <c r="AQ17" s="255"/>
    </row>
    <row r="18" spans="1:43" ht="39.950000000000003" customHeight="1" x14ac:dyDescent="0.25">
      <c r="A18" s="21">
        <f t="shared" si="0"/>
        <v>7</v>
      </c>
      <c r="B18" s="259" t="s">
        <v>316</v>
      </c>
      <c r="C18" s="259"/>
      <c r="D18" s="259"/>
      <c r="E18" s="258"/>
      <c r="F18" s="258"/>
      <c r="G18" s="258"/>
      <c r="H18" s="257"/>
      <c r="I18" s="257"/>
      <c r="J18" s="257"/>
      <c r="K18" s="257"/>
      <c r="L18" s="258"/>
      <c r="M18" s="258"/>
      <c r="N18" s="258"/>
      <c r="O18" s="258"/>
      <c r="P18" s="258"/>
      <c r="Q18" s="249"/>
      <c r="R18" s="249"/>
      <c r="S18" s="249"/>
      <c r="T18" s="249"/>
      <c r="U18" s="249"/>
      <c r="V18" s="249"/>
      <c r="W18" s="249"/>
      <c r="X18" s="249"/>
      <c r="Y18" s="249"/>
      <c r="Z18" s="249"/>
      <c r="AA18" s="249"/>
      <c r="AB18" s="249"/>
      <c r="AC18" s="249"/>
      <c r="AD18" s="249"/>
      <c r="AE18" s="249"/>
      <c r="AF18" s="249"/>
      <c r="AG18" s="249"/>
      <c r="AH18" s="249"/>
      <c r="AI18" s="249"/>
      <c r="AJ18" s="249"/>
      <c r="AK18" s="253"/>
      <c r="AL18" s="254"/>
      <c r="AM18" s="254"/>
      <c r="AN18" s="254"/>
      <c r="AO18" s="254"/>
      <c r="AP18" s="254"/>
      <c r="AQ18" s="255"/>
    </row>
    <row r="19" spans="1:43" ht="39.950000000000003" customHeight="1" x14ac:dyDescent="0.25">
      <c r="A19" s="21">
        <f t="shared" si="0"/>
        <v>8</v>
      </c>
      <c r="B19" s="259" t="s">
        <v>316</v>
      </c>
      <c r="C19" s="259"/>
      <c r="D19" s="259"/>
      <c r="E19" s="258"/>
      <c r="F19" s="258"/>
      <c r="G19" s="258"/>
      <c r="H19" s="257"/>
      <c r="I19" s="257"/>
      <c r="J19" s="257"/>
      <c r="K19" s="257"/>
      <c r="L19" s="258"/>
      <c r="M19" s="258"/>
      <c r="N19" s="258"/>
      <c r="O19" s="258"/>
      <c r="P19" s="258"/>
      <c r="Q19" s="249"/>
      <c r="R19" s="249"/>
      <c r="S19" s="249"/>
      <c r="T19" s="249"/>
      <c r="U19" s="249"/>
      <c r="V19" s="249"/>
      <c r="W19" s="249"/>
      <c r="X19" s="249"/>
      <c r="Y19" s="249"/>
      <c r="Z19" s="249"/>
      <c r="AA19" s="249"/>
      <c r="AB19" s="249"/>
      <c r="AC19" s="249"/>
      <c r="AD19" s="249"/>
      <c r="AE19" s="249"/>
      <c r="AF19" s="249"/>
      <c r="AG19" s="249"/>
      <c r="AH19" s="249"/>
      <c r="AI19" s="249"/>
      <c r="AJ19" s="249"/>
      <c r="AK19" s="253"/>
      <c r="AL19" s="254"/>
      <c r="AM19" s="254"/>
      <c r="AN19" s="254"/>
      <c r="AO19" s="254"/>
      <c r="AP19" s="254"/>
      <c r="AQ19" s="255"/>
    </row>
    <row r="20" spans="1:43" ht="39.950000000000003" customHeight="1" x14ac:dyDescent="0.25">
      <c r="A20" s="21">
        <f t="shared" si="0"/>
        <v>9</v>
      </c>
      <c r="B20" s="259" t="s">
        <v>316</v>
      </c>
      <c r="C20" s="259"/>
      <c r="D20" s="259"/>
      <c r="E20" s="258"/>
      <c r="F20" s="258"/>
      <c r="G20" s="258"/>
      <c r="H20" s="257"/>
      <c r="I20" s="257"/>
      <c r="J20" s="257"/>
      <c r="K20" s="257"/>
      <c r="L20" s="258"/>
      <c r="M20" s="258"/>
      <c r="N20" s="258"/>
      <c r="O20" s="258"/>
      <c r="P20" s="258"/>
      <c r="Q20" s="249"/>
      <c r="R20" s="249"/>
      <c r="S20" s="249"/>
      <c r="T20" s="249"/>
      <c r="U20" s="249"/>
      <c r="V20" s="249"/>
      <c r="W20" s="249"/>
      <c r="X20" s="249"/>
      <c r="Y20" s="249"/>
      <c r="Z20" s="249"/>
      <c r="AA20" s="249"/>
      <c r="AB20" s="249"/>
      <c r="AC20" s="249"/>
      <c r="AD20" s="249"/>
      <c r="AE20" s="249"/>
      <c r="AF20" s="249"/>
      <c r="AG20" s="249"/>
      <c r="AH20" s="249"/>
      <c r="AI20" s="249"/>
      <c r="AJ20" s="249"/>
      <c r="AK20" s="253"/>
      <c r="AL20" s="254"/>
      <c r="AM20" s="254"/>
      <c r="AN20" s="254"/>
      <c r="AO20" s="254"/>
      <c r="AP20" s="254"/>
      <c r="AQ20" s="255"/>
    </row>
    <row r="21" spans="1:43" ht="39.950000000000003" customHeight="1" x14ac:dyDescent="0.25">
      <c r="A21" s="21">
        <f t="shared" si="0"/>
        <v>10</v>
      </c>
      <c r="B21" s="259" t="s">
        <v>316</v>
      </c>
      <c r="C21" s="259"/>
      <c r="D21" s="259"/>
      <c r="E21" s="258"/>
      <c r="F21" s="258"/>
      <c r="G21" s="258"/>
      <c r="H21" s="257"/>
      <c r="I21" s="257"/>
      <c r="J21" s="257"/>
      <c r="K21" s="257"/>
      <c r="L21" s="258"/>
      <c r="M21" s="258"/>
      <c r="N21" s="258"/>
      <c r="O21" s="258"/>
      <c r="P21" s="258"/>
      <c r="Q21" s="249"/>
      <c r="R21" s="249"/>
      <c r="S21" s="249"/>
      <c r="T21" s="249"/>
      <c r="U21" s="249"/>
      <c r="V21" s="249"/>
      <c r="W21" s="249"/>
      <c r="X21" s="249"/>
      <c r="Y21" s="249"/>
      <c r="Z21" s="249"/>
      <c r="AA21" s="249"/>
      <c r="AB21" s="249"/>
      <c r="AC21" s="249"/>
      <c r="AD21" s="249"/>
      <c r="AE21" s="249"/>
      <c r="AF21" s="249"/>
      <c r="AG21" s="249"/>
      <c r="AH21" s="249"/>
      <c r="AI21" s="249"/>
      <c r="AJ21" s="249"/>
      <c r="AK21" s="253"/>
      <c r="AL21" s="254"/>
      <c r="AM21" s="254"/>
      <c r="AN21" s="254"/>
      <c r="AO21" s="254"/>
      <c r="AP21" s="254"/>
      <c r="AQ21" s="255"/>
    </row>
    <row r="22" spans="1:43" ht="39.950000000000003" customHeight="1" x14ac:dyDescent="0.25">
      <c r="A22" s="21">
        <f>ROW(A11)</f>
        <v>11</v>
      </c>
      <c r="B22" s="259" t="s">
        <v>316</v>
      </c>
      <c r="C22" s="259"/>
      <c r="D22" s="259"/>
      <c r="E22" s="258"/>
      <c r="F22" s="258"/>
      <c r="G22" s="258"/>
      <c r="H22" s="257"/>
      <c r="I22" s="257"/>
      <c r="J22" s="257"/>
      <c r="K22" s="257"/>
      <c r="L22" s="258"/>
      <c r="M22" s="258"/>
      <c r="N22" s="258"/>
      <c r="O22" s="258"/>
      <c r="P22" s="258"/>
      <c r="Q22" s="249"/>
      <c r="R22" s="249"/>
      <c r="S22" s="249"/>
      <c r="T22" s="249"/>
      <c r="U22" s="249"/>
      <c r="V22" s="249"/>
      <c r="W22" s="249"/>
      <c r="X22" s="249"/>
      <c r="Y22" s="249"/>
      <c r="Z22" s="249"/>
      <c r="AA22" s="249"/>
      <c r="AB22" s="249"/>
      <c r="AC22" s="249"/>
      <c r="AD22" s="249"/>
      <c r="AE22" s="249"/>
      <c r="AF22" s="249"/>
      <c r="AG22" s="249"/>
      <c r="AH22" s="249"/>
      <c r="AI22" s="249"/>
      <c r="AJ22" s="249"/>
      <c r="AK22" s="253"/>
      <c r="AL22" s="254"/>
      <c r="AM22" s="254"/>
      <c r="AN22" s="254"/>
      <c r="AO22" s="254"/>
      <c r="AP22" s="254"/>
      <c r="AQ22" s="255"/>
    </row>
    <row r="23" spans="1:43" ht="39.950000000000003" customHeight="1" x14ac:dyDescent="0.25">
      <c r="A23" s="21">
        <f t="shared" si="0"/>
        <v>12</v>
      </c>
      <c r="B23" s="259" t="s">
        <v>316</v>
      </c>
      <c r="C23" s="259"/>
      <c r="D23" s="259"/>
      <c r="E23" s="258"/>
      <c r="F23" s="258"/>
      <c r="G23" s="258"/>
      <c r="H23" s="257"/>
      <c r="I23" s="257"/>
      <c r="J23" s="257"/>
      <c r="K23" s="257"/>
      <c r="L23" s="258"/>
      <c r="M23" s="258"/>
      <c r="N23" s="258"/>
      <c r="O23" s="258"/>
      <c r="P23" s="258"/>
      <c r="Q23" s="249"/>
      <c r="R23" s="249"/>
      <c r="S23" s="249"/>
      <c r="T23" s="249"/>
      <c r="U23" s="249"/>
      <c r="V23" s="249"/>
      <c r="W23" s="249"/>
      <c r="X23" s="249"/>
      <c r="Y23" s="249"/>
      <c r="Z23" s="249"/>
      <c r="AA23" s="249"/>
      <c r="AB23" s="249"/>
      <c r="AC23" s="249"/>
      <c r="AD23" s="249"/>
      <c r="AE23" s="249"/>
      <c r="AF23" s="249"/>
      <c r="AG23" s="249"/>
      <c r="AH23" s="249"/>
      <c r="AI23" s="249"/>
      <c r="AJ23" s="249"/>
      <c r="AK23" s="253"/>
      <c r="AL23" s="254"/>
      <c r="AM23" s="254"/>
      <c r="AN23" s="254"/>
      <c r="AO23" s="254"/>
      <c r="AP23" s="254"/>
      <c r="AQ23" s="255"/>
    </row>
    <row r="24" spans="1:43" ht="39.950000000000003" customHeight="1" x14ac:dyDescent="0.25">
      <c r="A24" s="21">
        <f t="shared" si="0"/>
        <v>13</v>
      </c>
      <c r="B24" s="259" t="s">
        <v>316</v>
      </c>
      <c r="C24" s="259"/>
      <c r="D24" s="259"/>
      <c r="E24" s="258"/>
      <c r="F24" s="258"/>
      <c r="G24" s="258"/>
      <c r="H24" s="257"/>
      <c r="I24" s="257"/>
      <c r="J24" s="257"/>
      <c r="K24" s="257"/>
      <c r="L24" s="258"/>
      <c r="M24" s="258"/>
      <c r="N24" s="258"/>
      <c r="O24" s="258"/>
      <c r="P24" s="258"/>
      <c r="Q24" s="249"/>
      <c r="R24" s="249"/>
      <c r="S24" s="249"/>
      <c r="T24" s="249"/>
      <c r="U24" s="249"/>
      <c r="V24" s="249"/>
      <c r="W24" s="249"/>
      <c r="X24" s="249"/>
      <c r="Y24" s="249"/>
      <c r="Z24" s="249"/>
      <c r="AA24" s="249"/>
      <c r="AB24" s="249"/>
      <c r="AC24" s="249"/>
      <c r="AD24" s="249"/>
      <c r="AE24" s="249"/>
      <c r="AF24" s="249"/>
      <c r="AG24" s="249"/>
      <c r="AH24" s="249"/>
      <c r="AI24" s="249"/>
      <c r="AJ24" s="249"/>
      <c r="AK24" s="253"/>
      <c r="AL24" s="254"/>
      <c r="AM24" s="254"/>
      <c r="AN24" s="254"/>
      <c r="AO24" s="254"/>
      <c r="AP24" s="254"/>
      <c r="AQ24" s="255"/>
    </row>
    <row r="25" spans="1:43" ht="39.950000000000003" customHeight="1" x14ac:dyDescent="0.25">
      <c r="A25" s="21">
        <f t="shared" si="0"/>
        <v>14</v>
      </c>
      <c r="B25" s="259" t="s">
        <v>316</v>
      </c>
      <c r="C25" s="259"/>
      <c r="D25" s="259"/>
      <c r="E25" s="258"/>
      <c r="F25" s="258"/>
      <c r="G25" s="258"/>
      <c r="H25" s="257"/>
      <c r="I25" s="257"/>
      <c r="J25" s="257"/>
      <c r="K25" s="257"/>
      <c r="L25" s="258"/>
      <c r="M25" s="258"/>
      <c r="N25" s="258"/>
      <c r="O25" s="258"/>
      <c r="P25" s="258"/>
      <c r="Q25" s="249"/>
      <c r="R25" s="249"/>
      <c r="S25" s="249"/>
      <c r="T25" s="249"/>
      <c r="U25" s="249"/>
      <c r="V25" s="249"/>
      <c r="W25" s="249"/>
      <c r="X25" s="249"/>
      <c r="Y25" s="249"/>
      <c r="Z25" s="249"/>
      <c r="AA25" s="249"/>
      <c r="AB25" s="249"/>
      <c r="AC25" s="249"/>
      <c r="AD25" s="249"/>
      <c r="AE25" s="249"/>
      <c r="AF25" s="249"/>
      <c r="AG25" s="249"/>
      <c r="AH25" s="249"/>
      <c r="AI25" s="249"/>
      <c r="AJ25" s="249"/>
      <c r="AK25" s="253"/>
      <c r="AL25" s="254"/>
      <c r="AM25" s="254"/>
      <c r="AN25" s="254"/>
      <c r="AO25" s="254"/>
      <c r="AP25" s="254"/>
      <c r="AQ25" s="255"/>
    </row>
    <row r="26" spans="1:43" ht="39.950000000000003" customHeight="1" x14ac:dyDescent="0.25">
      <c r="A26" s="21">
        <f t="shared" si="0"/>
        <v>15</v>
      </c>
      <c r="B26" s="259" t="s">
        <v>316</v>
      </c>
      <c r="C26" s="259"/>
      <c r="D26" s="259"/>
      <c r="E26" s="258"/>
      <c r="F26" s="258"/>
      <c r="G26" s="258"/>
      <c r="H26" s="257"/>
      <c r="I26" s="257"/>
      <c r="J26" s="257"/>
      <c r="K26" s="257"/>
      <c r="L26" s="258"/>
      <c r="M26" s="258"/>
      <c r="N26" s="258"/>
      <c r="O26" s="258"/>
      <c r="P26" s="258"/>
      <c r="Q26" s="249"/>
      <c r="R26" s="249"/>
      <c r="S26" s="249"/>
      <c r="T26" s="249"/>
      <c r="U26" s="249"/>
      <c r="V26" s="249"/>
      <c r="W26" s="249"/>
      <c r="X26" s="249"/>
      <c r="Y26" s="249"/>
      <c r="Z26" s="249"/>
      <c r="AA26" s="249"/>
      <c r="AB26" s="249"/>
      <c r="AC26" s="249"/>
      <c r="AD26" s="249"/>
      <c r="AE26" s="249"/>
      <c r="AF26" s="249"/>
      <c r="AG26" s="249"/>
      <c r="AH26" s="249"/>
      <c r="AI26" s="249"/>
      <c r="AJ26" s="249"/>
      <c r="AK26" s="253"/>
      <c r="AL26" s="254"/>
      <c r="AM26" s="254"/>
      <c r="AN26" s="254"/>
      <c r="AO26" s="254"/>
      <c r="AP26" s="254"/>
      <c r="AQ26" s="255"/>
    </row>
    <row r="27" spans="1:43" ht="39.950000000000003" customHeight="1" x14ac:dyDescent="0.25">
      <c r="A27" s="21">
        <f t="shared" si="0"/>
        <v>16</v>
      </c>
      <c r="B27" s="259" t="s">
        <v>316</v>
      </c>
      <c r="C27" s="259"/>
      <c r="D27" s="259"/>
      <c r="E27" s="258"/>
      <c r="F27" s="258"/>
      <c r="G27" s="258"/>
      <c r="H27" s="257"/>
      <c r="I27" s="257"/>
      <c r="J27" s="257"/>
      <c r="K27" s="257"/>
      <c r="L27" s="258"/>
      <c r="M27" s="258"/>
      <c r="N27" s="258"/>
      <c r="O27" s="258"/>
      <c r="P27" s="258"/>
      <c r="Q27" s="249"/>
      <c r="R27" s="249"/>
      <c r="S27" s="249"/>
      <c r="T27" s="249"/>
      <c r="U27" s="249"/>
      <c r="V27" s="249"/>
      <c r="W27" s="249"/>
      <c r="X27" s="249"/>
      <c r="Y27" s="249"/>
      <c r="Z27" s="249"/>
      <c r="AA27" s="249"/>
      <c r="AB27" s="249"/>
      <c r="AC27" s="249"/>
      <c r="AD27" s="249"/>
      <c r="AE27" s="249"/>
      <c r="AF27" s="249"/>
      <c r="AG27" s="249"/>
      <c r="AH27" s="249"/>
      <c r="AI27" s="249"/>
      <c r="AJ27" s="249"/>
      <c r="AK27" s="253"/>
      <c r="AL27" s="254"/>
      <c r="AM27" s="254"/>
      <c r="AN27" s="254"/>
      <c r="AO27" s="254"/>
      <c r="AP27" s="254"/>
      <c r="AQ27" s="255"/>
    </row>
    <row r="28" spans="1:43" ht="39.950000000000003" customHeight="1" x14ac:dyDescent="0.25">
      <c r="A28" s="21">
        <f t="shared" si="0"/>
        <v>17</v>
      </c>
      <c r="B28" s="259" t="s">
        <v>316</v>
      </c>
      <c r="C28" s="259"/>
      <c r="D28" s="259"/>
      <c r="E28" s="258"/>
      <c r="F28" s="258"/>
      <c r="G28" s="258"/>
      <c r="H28" s="257"/>
      <c r="I28" s="257"/>
      <c r="J28" s="257"/>
      <c r="K28" s="257"/>
      <c r="L28" s="258"/>
      <c r="M28" s="258"/>
      <c r="N28" s="258"/>
      <c r="O28" s="258"/>
      <c r="P28" s="258"/>
      <c r="Q28" s="249"/>
      <c r="R28" s="249"/>
      <c r="S28" s="249"/>
      <c r="T28" s="249"/>
      <c r="U28" s="249"/>
      <c r="V28" s="249"/>
      <c r="W28" s="249"/>
      <c r="X28" s="249"/>
      <c r="Y28" s="249"/>
      <c r="Z28" s="249"/>
      <c r="AA28" s="249"/>
      <c r="AB28" s="249"/>
      <c r="AC28" s="249"/>
      <c r="AD28" s="249"/>
      <c r="AE28" s="249"/>
      <c r="AF28" s="249"/>
      <c r="AG28" s="249"/>
      <c r="AH28" s="249"/>
      <c r="AI28" s="249"/>
      <c r="AJ28" s="249"/>
      <c r="AK28" s="253"/>
      <c r="AL28" s="254"/>
      <c r="AM28" s="254"/>
      <c r="AN28" s="254"/>
      <c r="AO28" s="254"/>
      <c r="AP28" s="254"/>
      <c r="AQ28" s="255"/>
    </row>
    <row r="29" spans="1:43" ht="39.950000000000003" customHeight="1" x14ac:dyDescent="0.25">
      <c r="A29" s="21">
        <f t="shared" si="0"/>
        <v>18</v>
      </c>
      <c r="B29" s="259" t="s">
        <v>316</v>
      </c>
      <c r="C29" s="259"/>
      <c r="D29" s="259"/>
      <c r="E29" s="258"/>
      <c r="F29" s="258"/>
      <c r="G29" s="258"/>
      <c r="H29" s="257"/>
      <c r="I29" s="257"/>
      <c r="J29" s="257"/>
      <c r="K29" s="257"/>
      <c r="L29" s="258"/>
      <c r="M29" s="258"/>
      <c r="N29" s="258"/>
      <c r="O29" s="258"/>
      <c r="P29" s="258"/>
      <c r="Q29" s="249"/>
      <c r="R29" s="249"/>
      <c r="S29" s="249"/>
      <c r="T29" s="249"/>
      <c r="U29" s="249"/>
      <c r="V29" s="249"/>
      <c r="W29" s="249"/>
      <c r="X29" s="249"/>
      <c r="Y29" s="249"/>
      <c r="Z29" s="249"/>
      <c r="AA29" s="249"/>
      <c r="AB29" s="249"/>
      <c r="AC29" s="249"/>
      <c r="AD29" s="249"/>
      <c r="AE29" s="249"/>
      <c r="AF29" s="249"/>
      <c r="AG29" s="249"/>
      <c r="AH29" s="249"/>
      <c r="AI29" s="249"/>
      <c r="AJ29" s="249"/>
      <c r="AK29" s="253"/>
      <c r="AL29" s="254"/>
      <c r="AM29" s="254"/>
      <c r="AN29" s="254"/>
      <c r="AO29" s="254"/>
      <c r="AP29" s="254"/>
      <c r="AQ29" s="255"/>
    </row>
    <row r="30" spans="1:43" ht="39.950000000000003" customHeight="1" x14ac:dyDescent="0.25">
      <c r="A30" s="21">
        <f t="shared" si="0"/>
        <v>19</v>
      </c>
      <c r="B30" s="259" t="s">
        <v>316</v>
      </c>
      <c r="C30" s="259"/>
      <c r="D30" s="259"/>
      <c r="E30" s="258"/>
      <c r="F30" s="258"/>
      <c r="G30" s="258"/>
      <c r="H30" s="257"/>
      <c r="I30" s="257"/>
      <c r="J30" s="257"/>
      <c r="K30" s="257"/>
      <c r="L30" s="258"/>
      <c r="M30" s="258"/>
      <c r="N30" s="258"/>
      <c r="O30" s="258"/>
      <c r="P30" s="258"/>
      <c r="Q30" s="249"/>
      <c r="R30" s="249"/>
      <c r="S30" s="249"/>
      <c r="T30" s="249"/>
      <c r="U30" s="249"/>
      <c r="V30" s="249"/>
      <c r="W30" s="249"/>
      <c r="X30" s="249"/>
      <c r="Y30" s="249"/>
      <c r="Z30" s="249"/>
      <c r="AA30" s="249"/>
      <c r="AB30" s="249"/>
      <c r="AC30" s="249"/>
      <c r="AD30" s="249"/>
      <c r="AE30" s="249"/>
      <c r="AF30" s="249"/>
      <c r="AG30" s="249"/>
      <c r="AH30" s="249"/>
      <c r="AI30" s="249"/>
      <c r="AJ30" s="249"/>
      <c r="AK30" s="253"/>
      <c r="AL30" s="254"/>
      <c r="AM30" s="254"/>
      <c r="AN30" s="254"/>
      <c r="AO30" s="254"/>
      <c r="AP30" s="254"/>
      <c r="AQ30" s="255"/>
    </row>
    <row r="31" spans="1:43" ht="39.950000000000003" customHeight="1" x14ac:dyDescent="0.25">
      <c r="A31" s="21">
        <f t="shared" si="0"/>
        <v>20</v>
      </c>
      <c r="B31" s="259" t="s">
        <v>316</v>
      </c>
      <c r="C31" s="259"/>
      <c r="D31" s="259"/>
      <c r="E31" s="258"/>
      <c r="F31" s="258"/>
      <c r="G31" s="258"/>
      <c r="H31" s="257"/>
      <c r="I31" s="257"/>
      <c r="J31" s="257"/>
      <c r="K31" s="257"/>
      <c r="L31" s="258"/>
      <c r="M31" s="258"/>
      <c r="N31" s="258"/>
      <c r="O31" s="258"/>
      <c r="P31" s="258"/>
      <c r="Q31" s="249"/>
      <c r="R31" s="249"/>
      <c r="S31" s="249"/>
      <c r="T31" s="249"/>
      <c r="U31" s="249"/>
      <c r="V31" s="249"/>
      <c r="W31" s="249"/>
      <c r="X31" s="249"/>
      <c r="Y31" s="249"/>
      <c r="Z31" s="249"/>
      <c r="AA31" s="249"/>
      <c r="AB31" s="249"/>
      <c r="AC31" s="249"/>
      <c r="AD31" s="249"/>
      <c r="AE31" s="249"/>
      <c r="AF31" s="249"/>
      <c r="AG31" s="249"/>
      <c r="AH31" s="249"/>
      <c r="AI31" s="249"/>
      <c r="AJ31" s="249"/>
      <c r="AK31" s="253"/>
      <c r="AL31" s="254"/>
      <c r="AM31" s="254"/>
      <c r="AN31" s="254"/>
      <c r="AO31" s="254"/>
      <c r="AP31" s="254"/>
      <c r="AQ31" s="255"/>
    </row>
    <row r="32" spans="1:43" ht="39.950000000000003" customHeight="1" x14ac:dyDescent="0.25">
      <c r="A32" s="21">
        <f>ROW(A21)</f>
        <v>21</v>
      </c>
      <c r="B32" s="259" t="s">
        <v>316</v>
      </c>
      <c r="C32" s="259"/>
      <c r="D32" s="259"/>
      <c r="E32" s="258"/>
      <c r="F32" s="258"/>
      <c r="G32" s="258"/>
      <c r="H32" s="257"/>
      <c r="I32" s="257"/>
      <c r="J32" s="257"/>
      <c r="K32" s="257"/>
      <c r="L32" s="258"/>
      <c r="M32" s="258"/>
      <c r="N32" s="258"/>
      <c r="O32" s="258"/>
      <c r="P32" s="258"/>
      <c r="Q32" s="249"/>
      <c r="R32" s="249"/>
      <c r="S32" s="249"/>
      <c r="T32" s="249"/>
      <c r="U32" s="249"/>
      <c r="V32" s="249"/>
      <c r="W32" s="249"/>
      <c r="X32" s="249"/>
      <c r="Y32" s="249"/>
      <c r="Z32" s="249"/>
      <c r="AA32" s="249"/>
      <c r="AB32" s="249"/>
      <c r="AC32" s="249"/>
      <c r="AD32" s="249"/>
      <c r="AE32" s="249"/>
      <c r="AF32" s="249"/>
      <c r="AG32" s="249"/>
      <c r="AH32" s="249"/>
      <c r="AI32" s="249"/>
      <c r="AJ32" s="249"/>
      <c r="AK32" s="253"/>
      <c r="AL32" s="254"/>
      <c r="AM32" s="254"/>
      <c r="AN32" s="254"/>
      <c r="AO32" s="254"/>
      <c r="AP32" s="254"/>
      <c r="AQ32" s="255"/>
    </row>
    <row r="33" spans="1:43" ht="39.950000000000003" customHeight="1" x14ac:dyDescent="0.25">
      <c r="A33" s="21">
        <f t="shared" si="0"/>
        <v>22</v>
      </c>
      <c r="B33" s="259" t="s">
        <v>316</v>
      </c>
      <c r="C33" s="259"/>
      <c r="D33" s="259"/>
      <c r="E33" s="258"/>
      <c r="F33" s="258"/>
      <c r="G33" s="258"/>
      <c r="H33" s="257"/>
      <c r="I33" s="257"/>
      <c r="J33" s="257"/>
      <c r="K33" s="257"/>
      <c r="L33" s="258"/>
      <c r="M33" s="258"/>
      <c r="N33" s="258"/>
      <c r="O33" s="258"/>
      <c r="P33" s="258"/>
      <c r="Q33" s="249"/>
      <c r="R33" s="249"/>
      <c r="S33" s="249"/>
      <c r="T33" s="249"/>
      <c r="U33" s="249"/>
      <c r="V33" s="249"/>
      <c r="W33" s="249"/>
      <c r="X33" s="249"/>
      <c r="Y33" s="249"/>
      <c r="Z33" s="249"/>
      <c r="AA33" s="249"/>
      <c r="AB33" s="249"/>
      <c r="AC33" s="249"/>
      <c r="AD33" s="249"/>
      <c r="AE33" s="249"/>
      <c r="AF33" s="249"/>
      <c r="AG33" s="249"/>
      <c r="AH33" s="249"/>
      <c r="AI33" s="249"/>
      <c r="AJ33" s="249"/>
      <c r="AK33" s="253"/>
      <c r="AL33" s="254"/>
      <c r="AM33" s="254"/>
      <c r="AN33" s="254"/>
      <c r="AO33" s="254"/>
      <c r="AP33" s="254"/>
      <c r="AQ33" s="255"/>
    </row>
    <row r="34" spans="1:43" ht="39.950000000000003" customHeight="1" x14ac:dyDescent="0.25">
      <c r="A34" s="21">
        <f t="shared" si="0"/>
        <v>23</v>
      </c>
      <c r="B34" s="259" t="s">
        <v>316</v>
      </c>
      <c r="C34" s="259"/>
      <c r="D34" s="259"/>
      <c r="E34" s="258"/>
      <c r="F34" s="258"/>
      <c r="G34" s="258"/>
      <c r="H34" s="257"/>
      <c r="I34" s="257"/>
      <c r="J34" s="257"/>
      <c r="K34" s="257"/>
      <c r="L34" s="258"/>
      <c r="M34" s="258"/>
      <c r="N34" s="258"/>
      <c r="O34" s="258"/>
      <c r="P34" s="258"/>
      <c r="Q34" s="249"/>
      <c r="R34" s="249"/>
      <c r="S34" s="249"/>
      <c r="T34" s="249"/>
      <c r="U34" s="249"/>
      <c r="V34" s="249"/>
      <c r="W34" s="249"/>
      <c r="X34" s="249"/>
      <c r="Y34" s="249"/>
      <c r="Z34" s="249"/>
      <c r="AA34" s="249"/>
      <c r="AB34" s="249"/>
      <c r="AC34" s="249"/>
      <c r="AD34" s="249"/>
      <c r="AE34" s="249"/>
      <c r="AF34" s="249"/>
      <c r="AG34" s="249"/>
      <c r="AH34" s="249"/>
      <c r="AI34" s="249"/>
      <c r="AJ34" s="249"/>
      <c r="AK34" s="253"/>
      <c r="AL34" s="254"/>
      <c r="AM34" s="254"/>
      <c r="AN34" s="254"/>
      <c r="AO34" s="254"/>
      <c r="AP34" s="254"/>
      <c r="AQ34" s="255"/>
    </row>
    <row r="35" spans="1:43" ht="39.950000000000003" customHeight="1" x14ac:dyDescent="0.25">
      <c r="A35" s="21">
        <f t="shared" si="0"/>
        <v>24</v>
      </c>
      <c r="B35" s="259" t="s">
        <v>316</v>
      </c>
      <c r="C35" s="259"/>
      <c r="D35" s="259"/>
      <c r="E35" s="258"/>
      <c r="F35" s="258"/>
      <c r="G35" s="258"/>
      <c r="H35" s="257"/>
      <c r="I35" s="257"/>
      <c r="J35" s="257"/>
      <c r="K35" s="257"/>
      <c r="L35" s="258"/>
      <c r="M35" s="258"/>
      <c r="N35" s="258"/>
      <c r="O35" s="258"/>
      <c r="P35" s="258"/>
      <c r="Q35" s="249"/>
      <c r="R35" s="249"/>
      <c r="S35" s="249"/>
      <c r="T35" s="249"/>
      <c r="U35" s="249"/>
      <c r="V35" s="249"/>
      <c r="W35" s="249"/>
      <c r="X35" s="249"/>
      <c r="Y35" s="249"/>
      <c r="Z35" s="249"/>
      <c r="AA35" s="249"/>
      <c r="AB35" s="249"/>
      <c r="AC35" s="249"/>
      <c r="AD35" s="249"/>
      <c r="AE35" s="249"/>
      <c r="AF35" s="249"/>
      <c r="AG35" s="249"/>
      <c r="AH35" s="249"/>
      <c r="AI35" s="249"/>
      <c r="AJ35" s="249"/>
      <c r="AK35" s="253"/>
      <c r="AL35" s="254"/>
      <c r="AM35" s="254"/>
      <c r="AN35" s="254"/>
      <c r="AO35" s="254"/>
      <c r="AP35" s="254"/>
      <c r="AQ35" s="255"/>
    </row>
    <row r="36" spans="1:43" ht="39.950000000000003" customHeight="1" x14ac:dyDescent="0.25">
      <c r="A36" s="21">
        <f t="shared" si="0"/>
        <v>25</v>
      </c>
      <c r="B36" s="259" t="s">
        <v>316</v>
      </c>
      <c r="C36" s="259"/>
      <c r="D36" s="259"/>
      <c r="E36" s="258"/>
      <c r="F36" s="258"/>
      <c r="G36" s="258"/>
      <c r="H36" s="257"/>
      <c r="I36" s="257"/>
      <c r="J36" s="257"/>
      <c r="K36" s="257"/>
      <c r="L36" s="258"/>
      <c r="M36" s="258"/>
      <c r="N36" s="258"/>
      <c r="O36" s="258"/>
      <c r="P36" s="258"/>
      <c r="Q36" s="249"/>
      <c r="R36" s="249"/>
      <c r="S36" s="249"/>
      <c r="T36" s="249"/>
      <c r="U36" s="249"/>
      <c r="V36" s="249"/>
      <c r="W36" s="249"/>
      <c r="X36" s="249"/>
      <c r="Y36" s="249"/>
      <c r="Z36" s="249"/>
      <c r="AA36" s="249"/>
      <c r="AB36" s="249"/>
      <c r="AC36" s="249"/>
      <c r="AD36" s="249"/>
      <c r="AE36" s="249"/>
      <c r="AF36" s="249"/>
      <c r="AG36" s="249"/>
      <c r="AH36" s="249"/>
      <c r="AI36" s="249"/>
      <c r="AJ36" s="249"/>
      <c r="AK36" s="253"/>
      <c r="AL36" s="254"/>
      <c r="AM36" s="254"/>
      <c r="AN36" s="254"/>
      <c r="AO36" s="254"/>
      <c r="AP36" s="254"/>
      <c r="AQ36" s="255"/>
    </row>
    <row r="37" spans="1:43" ht="39.950000000000003" customHeight="1" x14ac:dyDescent="0.25">
      <c r="A37" s="21">
        <f t="shared" si="0"/>
        <v>26</v>
      </c>
      <c r="B37" s="259" t="s">
        <v>316</v>
      </c>
      <c r="C37" s="259"/>
      <c r="D37" s="259"/>
      <c r="E37" s="258"/>
      <c r="F37" s="258"/>
      <c r="G37" s="258"/>
      <c r="H37" s="257"/>
      <c r="I37" s="257"/>
      <c r="J37" s="257"/>
      <c r="K37" s="257"/>
      <c r="L37" s="258"/>
      <c r="M37" s="258"/>
      <c r="N37" s="258"/>
      <c r="O37" s="258"/>
      <c r="P37" s="258"/>
      <c r="Q37" s="249"/>
      <c r="R37" s="249"/>
      <c r="S37" s="249"/>
      <c r="T37" s="249"/>
      <c r="U37" s="249"/>
      <c r="V37" s="249"/>
      <c r="W37" s="249"/>
      <c r="X37" s="249"/>
      <c r="Y37" s="249"/>
      <c r="Z37" s="249"/>
      <c r="AA37" s="249"/>
      <c r="AB37" s="249"/>
      <c r="AC37" s="249"/>
      <c r="AD37" s="249"/>
      <c r="AE37" s="249"/>
      <c r="AF37" s="249"/>
      <c r="AG37" s="249"/>
      <c r="AH37" s="249"/>
      <c r="AI37" s="249"/>
      <c r="AJ37" s="249"/>
      <c r="AK37" s="253"/>
      <c r="AL37" s="254"/>
      <c r="AM37" s="254"/>
      <c r="AN37" s="254"/>
      <c r="AO37" s="254"/>
      <c r="AP37" s="254"/>
      <c r="AQ37" s="255"/>
    </row>
    <row r="38" spans="1:43" ht="39.950000000000003" customHeight="1" x14ac:dyDescent="0.25">
      <c r="A38" s="21">
        <f t="shared" si="0"/>
        <v>27</v>
      </c>
      <c r="B38" s="259" t="s">
        <v>316</v>
      </c>
      <c r="C38" s="259"/>
      <c r="D38" s="259"/>
      <c r="E38" s="258"/>
      <c r="F38" s="258"/>
      <c r="G38" s="258"/>
      <c r="H38" s="257"/>
      <c r="I38" s="257"/>
      <c r="J38" s="257"/>
      <c r="K38" s="257"/>
      <c r="L38" s="258"/>
      <c r="M38" s="258"/>
      <c r="N38" s="258"/>
      <c r="O38" s="258"/>
      <c r="P38" s="258"/>
      <c r="Q38" s="249"/>
      <c r="R38" s="249"/>
      <c r="S38" s="249"/>
      <c r="T38" s="249"/>
      <c r="U38" s="249"/>
      <c r="V38" s="249"/>
      <c r="W38" s="249"/>
      <c r="X38" s="249"/>
      <c r="Y38" s="249"/>
      <c r="Z38" s="249"/>
      <c r="AA38" s="249"/>
      <c r="AB38" s="249"/>
      <c r="AC38" s="249"/>
      <c r="AD38" s="249"/>
      <c r="AE38" s="249"/>
      <c r="AF38" s="249"/>
      <c r="AG38" s="249"/>
      <c r="AH38" s="249"/>
      <c r="AI38" s="249"/>
      <c r="AJ38" s="249"/>
      <c r="AK38" s="253"/>
      <c r="AL38" s="254"/>
      <c r="AM38" s="254"/>
      <c r="AN38" s="254"/>
      <c r="AO38" s="254"/>
      <c r="AP38" s="254"/>
      <c r="AQ38" s="255"/>
    </row>
    <row r="39" spans="1:43" ht="39.950000000000003" customHeight="1" x14ac:dyDescent="0.25">
      <c r="A39" s="21">
        <f t="shared" si="0"/>
        <v>28</v>
      </c>
      <c r="B39" s="259" t="s">
        <v>316</v>
      </c>
      <c r="C39" s="259"/>
      <c r="D39" s="259"/>
      <c r="E39" s="258"/>
      <c r="F39" s="258"/>
      <c r="G39" s="258"/>
      <c r="H39" s="257"/>
      <c r="I39" s="257"/>
      <c r="J39" s="257"/>
      <c r="K39" s="257"/>
      <c r="L39" s="258"/>
      <c r="M39" s="258"/>
      <c r="N39" s="258"/>
      <c r="O39" s="258"/>
      <c r="P39" s="258"/>
      <c r="Q39" s="249"/>
      <c r="R39" s="249"/>
      <c r="S39" s="249"/>
      <c r="T39" s="249"/>
      <c r="U39" s="249"/>
      <c r="V39" s="249"/>
      <c r="W39" s="249"/>
      <c r="X39" s="249"/>
      <c r="Y39" s="249"/>
      <c r="Z39" s="249"/>
      <c r="AA39" s="249"/>
      <c r="AB39" s="249"/>
      <c r="AC39" s="249"/>
      <c r="AD39" s="249"/>
      <c r="AE39" s="249"/>
      <c r="AF39" s="249"/>
      <c r="AG39" s="249"/>
      <c r="AH39" s="249"/>
      <c r="AI39" s="249"/>
      <c r="AJ39" s="249"/>
      <c r="AK39" s="253"/>
      <c r="AL39" s="254"/>
      <c r="AM39" s="254"/>
      <c r="AN39" s="254"/>
      <c r="AO39" s="254"/>
      <c r="AP39" s="254"/>
      <c r="AQ39" s="255"/>
    </row>
    <row r="40" spans="1:43" ht="39.950000000000003" customHeight="1" x14ac:dyDescent="0.25">
      <c r="A40" s="21">
        <f t="shared" si="0"/>
        <v>29</v>
      </c>
      <c r="B40" s="259" t="s">
        <v>316</v>
      </c>
      <c r="C40" s="259"/>
      <c r="D40" s="259"/>
      <c r="E40" s="258"/>
      <c r="F40" s="258"/>
      <c r="G40" s="258"/>
      <c r="H40" s="257"/>
      <c r="I40" s="257"/>
      <c r="J40" s="257"/>
      <c r="K40" s="257"/>
      <c r="L40" s="258"/>
      <c r="M40" s="258"/>
      <c r="N40" s="258"/>
      <c r="O40" s="258"/>
      <c r="P40" s="258"/>
      <c r="Q40" s="249"/>
      <c r="R40" s="249"/>
      <c r="S40" s="249"/>
      <c r="T40" s="249"/>
      <c r="U40" s="249"/>
      <c r="V40" s="249"/>
      <c r="W40" s="249"/>
      <c r="X40" s="249"/>
      <c r="Y40" s="249"/>
      <c r="Z40" s="249"/>
      <c r="AA40" s="249"/>
      <c r="AB40" s="249"/>
      <c r="AC40" s="249"/>
      <c r="AD40" s="249"/>
      <c r="AE40" s="249"/>
      <c r="AF40" s="249"/>
      <c r="AG40" s="249"/>
      <c r="AH40" s="249"/>
      <c r="AI40" s="249"/>
      <c r="AJ40" s="249"/>
      <c r="AK40" s="253"/>
      <c r="AL40" s="254"/>
      <c r="AM40" s="254"/>
      <c r="AN40" s="254"/>
      <c r="AO40" s="254"/>
      <c r="AP40" s="254"/>
      <c r="AQ40" s="255"/>
    </row>
    <row r="41" spans="1:43" ht="39.950000000000003" customHeight="1" x14ac:dyDescent="0.25">
      <c r="A41" s="21">
        <f t="shared" si="0"/>
        <v>30</v>
      </c>
      <c r="B41" s="259" t="s">
        <v>316</v>
      </c>
      <c r="C41" s="259"/>
      <c r="D41" s="259"/>
      <c r="E41" s="258"/>
      <c r="F41" s="258"/>
      <c r="G41" s="258"/>
      <c r="H41" s="257"/>
      <c r="I41" s="257"/>
      <c r="J41" s="257"/>
      <c r="K41" s="257"/>
      <c r="L41" s="258"/>
      <c r="M41" s="258"/>
      <c r="N41" s="258"/>
      <c r="O41" s="258"/>
      <c r="P41" s="258"/>
      <c r="Q41" s="249"/>
      <c r="R41" s="249"/>
      <c r="S41" s="249"/>
      <c r="T41" s="249"/>
      <c r="U41" s="249"/>
      <c r="V41" s="249"/>
      <c r="W41" s="249"/>
      <c r="X41" s="249"/>
      <c r="Y41" s="249"/>
      <c r="Z41" s="249"/>
      <c r="AA41" s="249"/>
      <c r="AB41" s="249"/>
      <c r="AC41" s="249"/>
      <c r="AD41" s="249"/>
      <c r="AE41" s="249"/>
      <c r="AF41" s="249"/>
      <c r="AG41" s="249"/>
      <c r="AH41" s="249"/>
      <c r="AI41" s="249"/>
      <c r="AJ41" s="249"/>
      <c r="AK41" s="253"/>
      <c r="AL41" s="254"/>
      <c r="AM41" s="254"/>
      <c r="AN41" s="254"/>
      <c r="AO41" s="254"/>
      <c r="AP41" s="254"/>
      <c r="AQ41" s="255"/>
    </row>
    <row r="42" spans="1:43" ht="39.950000000000003" customHeight="1" x14ac:dyDescent="0.25">
      <c r="A42" s="21">
        <f>ROW(A31)</f>
        <v>31</v>
      </c>
      <c r="B42" s="259" t="s">
        <v>316</v>
      </c>
      <c r="C42" s="259"/>
      <c r="D42" s="259"/>
      <c r="E42" s="258"/>
      <c r="F42" s="258"/>
      <c r="G42" s="258"/>
      <c r="H42" s="257"/>
      <c r="I42" s="257"/>
      <c r="J42" s="257"/>
      <c r="K42" s="257"/>
      <c r="L42" s="258"/>
      <c r="M42" s="258"/>
      <c r="N42" s="258"/>
      <c r="O42" s="258"/>
      <c r="P42" s="258"/>
      <c r="Q42" s="249"/>
      <c r="R42" s="249"/>
      <c r="S42" s="249"/>
      <c r="T42" s="249"/>
      <c r="U42" s="249"/>
      <c r="V42" s="249"/>
      <c r="W42" s="249"/>
      <c r="X42" s="249"/>
      <c r="Y42" s="249"/>
      <c r="Z42" s="249"/>
      <c r="AA42" s="249"/>
      <c r="AB42" s="249"/>
      <c r="AC42" s="249"/>
      <c r="AD42" s="249"/>
      <c r="AE42" s="249"/>
      <c r="AF42" s="249"/>
      <c r="AG42" s="249"/>
      <c r="AH42" s="249"/>
      <c r="AI42" s="249"/>
      <c r="AJ42" s="249"/>
      <c r="AK42" s="253"/>
      <c r="AL42" s="254"/>
      <c r="AM42" s="254"/>
      <c r="AN42" s="254"/>
      <c r="AO42" s="254"/>
      <c r="AP42" s="254"/>
      <c r="AQ42" s="255"/>
    </row>
    <row r="43" spans="1:43" ht="39.950000000000003" customHeight="1" x14ac:dyDescent="0.25">
      <c r="A43" s="21">
        <f t="shared" si="0"/>
        <v>32</v>
      </c>
      <c r="B43" s="259" t="s">
        <v>316</v>
      </c>
      <c r="C43" s="259"/>
      <c r="D43" s="259"/>
      <c r="E43" s="258"/>
      <c r="F43" s="258"/>
      <c r="G43" s="258"/>
      <c r="H43" s="257"/>
      <c r="I43" s="257"/>
      <c r="J43" s="257"/>
      <c r="K43" s="257"/>
      <c r="L43" s="258"/>
      <c r="M43" s="258"/>
      <c r="N43" s="258"/>
      <c r="O43" s="258"/>
      <c r="P43" s="258"/>
      <c r="Q43" s="249"/>
      <c r="R43" s="249"/>
      <c r="S43" s="249"/>
      <c r="T43" s="249"/>
      <c r="U43" s="249"/>
      <c r="V43" s="249"/>
      <c r="W43" s="249"/>
      <c r="X43" s="249"/>
      <c r="Y43" s="249"/>
      <c r="Z43" s="249"/>
      <c r="AA43" s="249"/>
      <c r="AB43" s="249"/>
      <c r="AC43" s="249"/>
      <c r="AD43" s="249"/>
      <c r="AE43" s="249"/>
      <c r="AF43" s="249"/>
      <c r="AG43" s="249"/>
      <c r="AH43" s="249"/>
      <c r="AI43" s="249"/>
      <c r="AJ43" s="249"/>
      <c r="AK43" s="253"/>
      <c r="AL43" s="254"/>
      <c r="AM43" s="254"/>
      <c r="AN43" s="254"/>
      <c r="AO43" s="254"/>
      <c r="AP43" s="254"/>
      <c r="AQ43" s="255"/>
    </row>
    <row r="44" spans="1:43" ht="39.950000000000003" customHeight="1" x14ac:dyDescent="0.25">
      <c r="A44" s="21">
        <f t="shared" si="0"/>
        <v>33</v>
      </c>
      <c r="B44" s="259" t="s">
        <v>316</v>
      </c>
      <c r="C44" s="259"/>
      <c r="D44" s="259"/>
      <c r="E44" s="258"/>
      <c r="F44" s="258"/>
      <c r="G44" s="258"/>
      <c r="H44" s="257"/>
      <c r="I44" s="257"/>
      <c r="J44" s="257"/>
      <c r="K44" s="257"/>
      <c r="L44" s="258"/>
      <c r="M44" s="258"/>
      <c r="N44" s="258"/>
      <c r="O44" s="258"/>
      <c r="P44" s="258"/>
      <c r="Q44" s="249"/>
      <c r="R44" s="249"/>
      <c r="S44" s="249"/>
      <c r="T44" s="249"/>
      <c r="U44" s="249"/>
      <c r="V44" s="249"/>
      <c r="W44" s="249"/>
      <c r="X44" s="249"/>
      <c r="Y44" s="249"/>
      <c r="Z44" s="249"/>
      <c r="AA44" s="249"/>
      <c r="AB44" s="249"/>
      <c r="AC44" s="249"/>
      <c r="AD44" s="249"/>
      <c r="AE44" s="249"/>
      <c r="AF44" s="249"/>
      <c r="AG44" s="249"/>
      <c r="AH44" s="249"/>
      <c r="AI44" s="249"/>
      <c r="AJ44" s="249"/>
      <c r="AK44" s="253"/>
      <c r="AL44" s="254"/>
      <c r="AM44" s="254"/>
      <c r="AN44" s="254"/>
      <c r="AO44" s="254"/>
      <c r="AP44" s="254"/>
      <c r="AQ44" s="255"/>
    </row>
    <row r="45" spans="1:43" ht="39.950000000000003" customHeight="1" x14ac:dyDescent="0.25">
      <c r="A45" s="21">
        <f t="shared" si="0"/>
        <v>34</v>
      </c>
      <c r="B45" s="259" t="s">
        <v>316</v>
      </c>
      <c r="C45" s="259"/>
      <c r="D45" s="259"/>
      <c r="E45" s="258"/>
      <c r="F45" s="258"/>
      <c r="G45" s="258"/>
      <c r="H45" s="257"/>
      <c r="I45" s="257"/>
      <c r="J45" s="257"/>
      <c r="K45" s="257"/>
      <c r="L45" s="258"/>
      <c r="M45" s="258"/>
      <c r="N45" s="258"/>
      <c r="O45" s="258"/>
      <c r="P45" s="258"/>
      <c r="Q45" s="249"/>
      <c r="R45" s="249"/>
      <c r="S45" s="249"/>
      <c r="T45" s="249"/>
      <c r="U45" s="249"/>
      <c r="V45" s="249"/>
      <c r="W45" s="249"/>
      <c r="X45" s="249"/>
      <c r="Y45" s="249"/>
      <c r="Z45" s="249"/>
      <c r="AA45" s="249"/>
      <c r="AB45" s="249"/>
      <c r="AC45" s="249"/>
      <c r="AD45" s="249"/>
      <c r="AE45" s="249"/>
      <c r="AF45" s="249"/>
      <c r="AG45" s="249"/>
      <c r="AH45" s="249"/>
      <c r="AI45" s="249"/>
      <c r="AJ45" s="249"/>
      <c r="AK45" s="253"/>
      <c r="AL45" s="254"/>
      <c r="AM45" s="254"/>
      <c r="AN45" s="254"/>
      <c r="AO45" s="254"/>
      <c r="AP45" s="254"/>
      <c r="AQ45" s="255"/>
    </row>
    <row r="46" spans="1:43" ht="39.950000000000003" customHeight="1" x14ac:dyDescent="0.25">
      <c r="A46" s="21">
        <f t="shared" si="0"/>
        <v>35</v>
      </c>
      <c r="B46" s="259" t="s">
        <v>316</v>
      </c>
      <c r="C46" s="259"/>
      <c r="D46" s="259"/>
      <c r="E46" s="258"/>
      <c r="F46" s="258"/>
      <c r="G46" s="258"/>
      <c r="H46" s="257"/>
      <c r="I46" s="257"/>
      <c r="J46" s="257"/>
      <c r="K46" s="257"/>
      <c r="L46" s="258"/>
      <c r="M46" s="258"/>
      <c r="N46" s="258"/>
      <c r="O46" s="258"/>
      <c r="P46" s="258"/>
      <c r="Q46" s="249"/>
      <c r="R46" s="249"/>
      <c r="S46" s="249"/>
      <c r="T46" s="249"/>
      <c r="U46" s="249"/>
      <c r="V46" s="249"/>
      <c r="W46" s="249"/>
      <c r="X46" s="249"/>
      <c r="Y46" s="249"/>
      <c r="Z46" s="249"/>
      <c r="AA46" s="249"/>
      <c r="AB46" s="249"/>
      <c r="AC46" s="249"/>
      <c r="AD46" s="249"/>
      <c r="AE46" s="249"/>
      <c r="AF46" s="249"/>
      <c r="AG46" s="249"/>
      <c r="AH46" s="249"/>
      <c r="AI46" s="249"/>
      <c r="AJ46" s="249"/>
      <c r="AK46" s="253"/>
      <c r="AL46" s="254"/>
      <c r="AM46" s="254"/>
      <c r="AN46" s="254"/>
      <c r="AO46" s="254"/>
      <c r="AP46" s="254"/>
      <c r="AQ46" s="255"/>
    </row>
    <row r="47" spans="1:43" ht="39.950000000000003" customHeight="1" x14ac:dyDescent="0.25">
      <c r="A47" s="21">
        <f t="shared" si="0"/>
        <v>36</v>
      </c>
      <c r="B47" s="259" t="s">
        <v>316</v>
      </c>
      <c r="C47" s="259"/>
      <c r="D47" s="259"/>
      <c r="E47" s="258"/>
      <c r="F47" s="258"/>
      <c r="G47" s="258"/>
      <c r="H47" s="257"/>
      <c r="I47" s="257"/>
      <c r="J47" s="257"/>
      <c r="K47" s="257"/>
      <c r="L47" s="258"/>
      <c r="M47" s="258"/>
      <c r="N47" s="258"/>
      <c r="O47" s="258"/>
      <c r="P47" s="258"/>
      <c r="Q47" s="249"/>
      <c r="R47" s="249"/>
      <c r="S47" s="249"/>
      <c r="T47" s="249"/>
      <c r="U47" s="249"/>
      <c r="V47" s="249"/>
      <c r="W47" s="249"/>
      <c r="X47" s="249"/>
      <c r="Y47" s="249"/>
      <c r="Z47" s="249"/>
      <c r="AA47" s="249"/>
      <c r="AB47" s="249"/>
      <c r="AC47" s="249"/>
      <c r="AD47" s="249"/>
      <c r="AE47" s="249"/>
      <c r="AF47" s="249"/>
      <c r="AG47" s="249"/>
      <c r="AH47" s="249"/>
      <c r="AI47" s="249"/>
      <c r="AJ47" s="249"/>
      <c r="AK47" s="253"/>
      <c r="AL47" s="254"/>
      <c r="AM47" s="254"/>
      <c r="AN47" s="254"/>
      <c r="AO47" s="254"/>
      <c r="AP47" s="254"/>
      <c r="AQ47" s="255"/>
    </row>
    <row r="48" spans="1:43" ht="39.950000000000003" customHeight="1" x14ac:dyDescent="0.25">
      <c r="A48" s="21">
        <f t="shared" si="0"/>
        <v>37</v>
      </c>
      <c r="B48" s="259" t="s">
        <v>316</v>
      </c>
      <c r="C48" s="259"/>
      <c r="D48" s="259"/>
      <c r="E48" s="258"/>
      <c r="F48" s="258"/>
      <c r="G48" s="258"/>
      <c r="H48" s="257"/>
      <c r="I48" s="257"/>
      <c r="J48" s="257"/>
      <c r="K48" s="257"/>
      <c r="L48" s="258"/>
      <c r="M48" s="258"/>
      <c r="N48" s="258"/>
      <c r="O48" s="258"/>
      <c r="P48" s="258"/>
      <c r="Q48" s="249"/>
      <c r="R48" s="249"/>
      <c r="S48" s="249"/>
      <c r="T48" s="249"/>
      <c r="U48" s="249"/>
      <c r="V48" s="249"/>
      <c r="W48" s="249"/>
      <c r="X48" s="249"/>
      <c r="Y48" s="249"/>
      <c r="Z48" s="249"/>
      <c r="AA48" s="249"/>
      <c r="AB48" s="249"/>
      <c r="AC48" s="249"/>
      <c r="AD48" s="249"/>
      <c r="AE48" s="249"/>
      <c r="AF48" s="249"/>
      <c r="AG48" s="249"/>
      <c r="AH48" s="249"/>
      <c r="AI48" s="249"/>
      <c r="AJ48" s="249"/>
      <c r="AK48" s="253"/>
      <c r="AL48" s="254"/>
      <c r="AM48" s="254"/>
      <c r="AN48" s="254"/>
      <c r="AO48" s="254"/>
      <c r="AP48" s="254"/>
      <c r="AQ48" s="255"/>
    </row>
    <row r="49" spans="1:43" ht="39.950000000000003" customHeight="1" x14ac:dyDescent="0.25">
      <c r="A49" s="21">
        <f t="shared" si="0"/>
        <v>38</v>
      </c>
      <c r="B49" s="259" t="s">
        <v>316</v>
      </c>
      <c r="C49" s="259"/>
      <c r="D49" s="259"/>
      <c r="E49" s="258"/>
      <c r="F49" s="258"/>
      <c r="G49" s="258"/>
      <c r="H49" s="257"/>
      <c r="I49" s="257"/>
      <c r="J49" s="257"/>
      <c r="K49" s="257"/>
      <c r="L49" s="258"/>
      <c r="M49" s="258"/>
      <c r="N49" s="258"/>
      <c r="O49" s="258"/>
      <c r="P49" s="258"/>
      <c r="Q49" s="249"/>
      <c r="R49" s="249"/>
      <c r="S49" s="249"/>
      <c r="T49" s="249"/>
      <c r="U49" s="249"/>
      <c r="V49" s="249"/>
      <c r="W49" s="249"/>
      <c r="X49" s="249"/>
      <c r="Y49" s="249"/>
      <c r="Z49" s="249"/>
      <c r="AA49" s="249"/>
      <c r="AB49" s="249"/>
      <c r="AC49" s="249"/>
      <c r="AD49" s="249"/>
      <c r="AE49" s="249"/>
      <c r="AF49" s="249"/>
      <c r="AG49" s="249"/>
      <c r="AH49" s="249"/>
      <c r="AI49" s="249"/>
      <c r="AJ49" s="249"/>
      <c r="AK49" s="253"/>
      <c r="AL49" s="254"/>
      <c r="AM49" s="254"/>
      <c r="AN49" s="254"/>
      <c r="AO49" s="254"/>
      <c r="AP49" s="254"/>
      <c r="AQ49" s="255"/>
    </row>
    <row r="50" spans="1:43" ht="39.950000000000003" customHeight="1" x14ac:dyDescent="0.25">
      <c r="A50" s="21">
        <f t="shared" si="0"/>
        <v>39</v>
      </c>
      <c r="B50" s="259" t="s">
        <v>316</v>
      </c>
      <c r="C50" s="259"/>
      <c r="D50" s="259"/>
      <c r="E50" s="258"/>
      <c r="F50" s="258"/>
      <c r="G50" s="258"/>
      <c r="H50" s="257"/>
      <c r="I50" s="257"/>
      <c r="J50" s="257"/>
      <c r="K50" s="257"/>
      <c r="L50" s="258"/>
      <c r="M50" s="258"/>
      <c r="N50" s="258"/>
      <c r="O50" s="258"/>
      <c r="P50" s="258"/>
      <c r="Q50" s="249"/>
      <c r="R50" s="249"/>
      <c r="S50" s="249"/>
      <c r="T50" s="249"/>
      <c r="U50" s="249"/>
      <c r="V50" s="249"/>
      <c r="W50" s="249"/>
      <c r="X50" s="249"/>
      <c r="Y50" s="249"/>
      <c r="Z50" s="249"/>
      <c r="AA50" s="249"/>
      <c r="AB50" s="249"/>
      <c r="AC50" s="249"/>
      <c r="AD50" s="249"/>
      <c r="AE50" s="249"/>
      <c r="AF50" s="249"/>
      <c r="AG50" s="249"/>
      <c r="AH50" s="249"/>
      <c r="AI50" s="249"/>
      <c r="AJ50" s="249"/>
      <c r="AK50" s="253"/>
      <c r="AL50" s="254"/>
      <c r="AM50" s="254"/>
      <c r="AN50" s="254"/>
      <c r="AO50" s="254"/>
      <c r="AP50" s="254"/>
      <c r="AQ50" s="255"/>
    </row>
    <row r="51" spans="1:43" ht="39.950000000000003" customHeight="1" x14ac:dyDescent="0.25">
      <c r="A51" s="21">
        <f t="shared" si="0"/>
        <v>40</v>
      </c>
      <c r="B51" s="259" t="s">
        <v>316</v>
      </c>
      <c r="C51" s="259"/>
      <c r="D51" s="259"/>
      <c r="E51" s="258"/>
      <c r="F51" s="258"/>
      <c r="G51" s="258"/>
      <c r="H51" s="257"/>
      <c r="I51" s="257"/>
      <c r="J51" s="257"/>
      <c r="K51" s="257"/>
      <c r="L51" s="258"/>
      <c r="M51" s="258"/>
      <c r="N51" s="258"/>
      <c r="O51" s="258"/>
      <c r="P51" s="258"/>
      <c r="Q51" s="249"/>
      <c r="R51" s="249"/>
      <c r="S51" s="249"/>
      <c r="T51" s="249"/>
      <c r="U51" s="249"/>
      <c r="V51" s="249"/>
      <c r="W51" s="249"/>
      <c r="X51" s="249"/>
      <c r="Y51" s="249"/>
      <c r="Z51" s="249"/>
      <c r="AA51" s="249"/>
      <c r="AB51" s="249"/>
      <c r="AC51" s="249"/>
      <c r="AD51" s="249"/>
      <c r="AE51" s="249"/>
      <c r="AF51" s="249"/>
      <c r="AG51" s="249"/>
      <c r="AH51" s="249"/>
      <c r="AI51" s="249"/>
      <c r="AJ51" s="249"/>
      <c r="AK51" s="253"/>
      <c r="AL51" s="254"/>
      <c r="AM51" s="254"/>
      <c r="AN51" s="254"/>
      <c r="AO51" s="254"/>
      <c r="AP51" s="254"/>
      <c r="AQ51" s="255"/>
    </row>
    <row r="52" spans="1:43" ht="39.950000000000003" customHeight="1" x14ac:dyDescent="0.25">
      <c r="A52" s="21">
        <f>ROW(A41)</f>
        <v>41</v>
      </c>
      <c r="B52" s="259" t="s">
        <v>316</v>
      </c>
      <c r="C52" s="259"/>
      <c r="D52" s="259"/>
      <c r="E52" s="258"/>
      <c r="F52" s="258"/>
      <c r="G52" s="258"/>
      <c r="H52" s="257"/>
      <c r="I52" s="257"/>
      <c r="J52" s="257"/>
      <c r="K52" s="257"/>
      <c r="L52" s="258"/>
      <c r="M52" s="258"/>
      <c r="N52" s="258"/>
      <c r="O52" s="258"/>
      <c r="P52" s="258"/>
      <c r="Q52" s="249"/>
      <c r="R52" s="249"/>
      <c r="S52" s="249"/>
      <c r="T52" s="249"/>
      <c r="U52" s="249"/>
      <c r="V52" s="249"/>
      <c r="W52" s="249"/>
      <c r="X52" s="249"/>
      <c r="Y52" s="249"/>
      <c r="Z52" s="249"/>
      <c r="AA52" s="249"/>
      <c r="AB52" s="249"/>
      <c r="AC52" s="249"/>
      <c r="AD52" s="249"/>
      <c r="AE52" s="249"/>
      <c r="AF52" s="249"/>
      <c r="AG52" s="249"/>
      <c r="AH52" s="249"/>
      <c r="AI52" s="249"/>
      <c r="AJ52" s="249"/>
      <c r="AK52" s="253"/>
      <c r="AL52" s="254"/>
      <c r="AM52" s="254"/>
      <c r="AN52" s="254"/>
      <c r="AO52" s="254"/>
      <c r="AP52" s="254"/>
      <c r="AQ52" s="255"/>
    </row>
    <row r="53" spans="1:43" ht="39.950000000000003" customHeight="1" x14ac:dyDescent="0.25">
      <c r="A53" s="21">
        <f t="shared" si="0"/>
        <v>42</v>
      </c>
      <c r="B53" s="259" t="s">
        <v>316</v>
      </c>
      <c r="C53" s="259"/>
      <c r="D53" s="259"/>
      <c r="E53" s="258"/>
      <c r="F53" s="258"/>
      <c r="G53" s="258"/>
      <c r="H53" s="257"/>
      <c r="I53" s="257"/>
      <c r="J53" s="257"/>
      <c r="K53" s="257"/>
      <c r="L53" s="258"/>
      <c r="M53" s="258"/>
      <c r="N53" s="258"/>
      <c r="O53" s="258"/>
      <c r="P53" s="258"/>
      <c r="Q53" s="249"/>
      <c r="R53" s="249"/>
      <c r="S53" s="249"/>
      <c r="T53" s="249"/>
      <c r="U53" s="249"/>
      <c r="V53" s="249"/>
      <c r="W53" s="249"/>
      <c r="X53" s="249"/>
      <c r="Y53" s="249"/>
      <c r="Z53" s="249"/>
      <c r="AA53" s="249"/>
      <c r="AB53" s="249"/>
      <c r="AC53" s="249"/>
      <c r="AD53" s="249"/>
      <c r="AE53" s="249"/>
      <c r="AF53" s="249"/>
      <c r="AG53" s="249"/>
      <c r="AH53" s="249"/>
      <c r="AI53" s="249"/>
      <c r="AJ53" s="249"/>
      <c r="AK53" s="253"/>
      <c r="AL53" s="254"/>
      <c r="AM53" s="254"/>
      <c r="AN53" s="254"/>
      <c r="AO53" s="254"/>
      <c r="AP53" s="254"/>
      <c r="AQ53" s="255"/>
    </row>
    <row r="54" spans="1:43" ht="39.950000000000003" customHeight="1" x14ac:dyDescent="0.25">
      <c r="A54" s="21">
        <f t="shared" si="0"/>
        <v>43</v>
      </c>
      <c r="B54" s="259" t="s">
        <v>316</v>
      </c>
      <c r="C54" s="259"/>
      <c r="D54" s="259"/>
      <c r="E54" s="258"/>
      <c r="F54" s="258"/>
      <c r="G54" s="258"/>
      <c r="H54" s="257"/>
      <c r="I54" s="257"/>
      <c r="J54" s="257"/>
      <c r="K54" s="257"/>
      <c r="L54" s="258"/>
      <c r="M54" s="258"/>
      <c r="N54" s="258"/>
      <c r="O54" s="258"/>
      <c r="P54" s="258"/>
      <c r="Q54" s="249"/>
      <c r="R54" s="249"/>
      <c r="S54" s="249"/>
      <c r="T54" s="249"/>
      <c r="U54" s="249"/>
      <c r="V54" s="249"/>
      <c r="W54" s="249"/>
      <c r="X54" s="249"/>
      <c r="Y54" s="249"/>
      <c r="Z54" s="249"/>
      <c r="AA54" s="249"/>
      <c r="AB54" s="249"/>
      <c r="AC54" s="249"/>
      <c r="AD54" s="249"/>
      <c r="AE54" s="249"/>
      <c r="AF54" s="249"/>
      <c r="AG54" s="249"/>
      <c r="AH54" s="249"/>
      <c r="AI54" s="249"/>
      <c r="AJ54" s="249"/>
      <c r="AK54" s="253"/>
      <c r="AL54" s="254"/>
      <c r="AM54" s="254"/>
      <c r="AN54" s="254"/>
      <c r="AO54" s="254"/>
      <c r="AP54" s="254"/>
      <c r="AQ54" s="255"/>
    </row>
    <row r="55" spans="1:43" ht="39.950000000000003" customHeight="1" x14ac:dyDescent="0.25">
      <c r="A55" s="21">
        <f t="shared" si="0"/>
        <v>44</v>
      </c>
      <c r="B55" s="259" t="s">
        <v>316</v>
      </c>
      <c r="C55" s="259"/>
      <c r="D55" s="259"/>
      <c r="E55" s="258"/>
      <c r="F55" s="258"/>
      <c r="G55" s="258"/>
      <c r="H55" s="257"/>
      <c r="I55" s="257"/>
      <c r="J55" s="257"/>
      <c r="K55" s="257"/>
      <c r="L55" s="258"/>
      <c r="M55" s="258"/>
      <c r="N55" s="258"/>
      <c r="O55" s="258"/>
      <c r="P55" s="258"/>
      <c r="Q55" s="249"/>
      <c r="R55" s="249"/>
      <c r="S55" s="249"/>
      <c r="T55" s="249"/>
      <c r="U55" s="249"/>
      <c r="V55" s="249"/>
      <c r="W55" s="249"/>
      <c r="X55" s="249"/>
      <c r="Y55" s="249"/>
      <c r="Z55" s="249"/>
      <c r="AA55" s="249"/>
      <c r="AB55" s="249"/>
      <c r="AC55" s="249"/>
      <c r="AD55" s="249"/>
      <c r="AE55" s="249"/>
      <c r="AF55" s="249"/>
      <c r="AG55" s="249"/>
      <c r="AH55" s="249"/>
      <c r="AI55" s="249"/>
      <c r="AJ55" s="249"/>
      <c r="AK55" s="253"/>
      <c r="AL55" s="254"/>
      <c r="AM55" s="254"/>
      <c r="AN55" s="254"/>
      <c r="AO55" s="254"/>
      <c r="AP55" s="254"/>
      <c r="AQ55" s="255"/>
    </row>
    <row r="56" spans="1:43" ht="39.950000000000003" customHeight="1" x14ac:dyDescent="0.25">
      <c r="A56" s="21">
        <f t="shared" si="0"/>
        <v>45</v>
      </c>
      <c r="B56" s="259" t="s">
        <v>316</v>
      </c>
      <c r="C56" s="259"/>
      <c r="D56" s="259"/>
      <c r="E56" s="258"/>
      <c r="F56" s="258"/>
      <c r="G56" s="258"/>
      <c r="H56" s="257"/>
      <c r="I56" s="257"/>
      <c r="J56" s="257"/>
      <c r="K56" s="257"/>
      <c r="L56" s="258"/>
      <c r="M56" s="258"/>
      <c r="N56" s="258"/>
      <c r="O56" s="258"/>
      <c r="P56" s="258"/>
      <c r="Q56" s="249"/>
      <c r="R56" s="249"/>
      <c r="S56" s="249"/>
      <c r="T56" s="249"/>
      <c r="U56" s="249"/>
      <c r="V56" s="249"/>
      <c r="W56" s="249"/>
      <c r="X56" s="249"/>
      <c r="Y56" s="249"/>
      <c r="Z56" s="249"/>
      <c r="AA56" s="249"/>
      <c r="AB56" s="249"/>
      <c r="AC56" s="249"/>
      <c r="AD56" s="249"/>
      <c r="AE56" s="249"/>
      <c r="AF56" s="249"/>
      <c r="AG56" s="249"/>
      <c r="AH56" s="249"/>
      <c r="AI56" s="249"/>
      <c r="AJ56" s="249"/>
      <c r="AK56" s="253"/>
      <c r="AL56" s="254"/>
      <c r="AM56" s="254"/>
      <c r="AN56" s="254"/>
      <c r="AO56" s="254"/>
      <c r="AP56" s="254"/>
      <c r="AQ56" s="255"/>
    </row>
    <row r="57" spans="1:43" ht="39.950000000000003" customHeight="1" x14ac:dyDescent="0.25">
      <c r="A57" s="21">
        <f t="shared" si="0"/>
        <v>46</v>
      </c>
      <c r="B57" s="259" t="s">
        <v>316</v>
      </c>
      <c r="C57" s="259"/>
      <c r="D57" s="259"/>
      <c r="E57" s="258"/>
      <c r="F57" s="258"/>
      <c r="G57" s="258"/>
      <c r="H57" s="257"/>
      <c r="I57" s="257"/>
      <c r="J57" s="257"/>
      <c r="K57" s="257"/>
      <c r="L57" s="258"/>
      <c r="M57" s="258"/>
      <c r="N57" s="258"/>
      <c r="O57" s="258"/>
      <c r="P57" s="258"/>
      <c r="Q57" s="249"/>
      <c r="R57" s="249"/>
      <c r="S57" s="249"/>
      <c r="T57" s="249"/>
      <c r="U57" s="249"/>
      <c r="V57" s="249"/>
      <c r="W57" s="249"/>
      <c r="X57" s="249"/>
      <c r="Y57" s="249"/>
      <c r="Z57" s="249"/>
      <c r="AA57" s="249"/>
      <c r="AB57" s="249"/>
      <c r="AC57" s="249"/>
      <c r="AD57" s="249"/>
      <c r="AE57" s="249"/>
      <c r="AF57" s="249"/>
      <c r="AG57" s="249"/>
      <c r="AH57" s="249"/>
      <c r="AI57" s="249"/>
      <c r="AJ57" s="249"/>
      <c r="AK57" s="253"/>
      <c r="AL57" s="254"/>
      <c r="AM57" s="254"/>
      <c r="AN57" s="254"/>
      <c r="AO57" s="254"/>
      <c r="AP57" s="254"/>
      <c r="AQ57" s="255"/>
    </row>
    <row r="58" spans="1:43" ht="39.950000000000003" customHeight="1" x14ac:dyDescent="0.25">
      <c r="A58" s="21">
        <f t="shared" si="0"/>
        <v>47</v>
      </c>
      <c r="B58" s="259" t="s">
        <v>316</v>
      </c>
      <c r="C58" s="259"/>
      <c r="D58" s="259"/>
      <c r="E58" s="258"/>
      <c r="F58" s="258"/>
      <c r="G58" s="258"/>
      <c r="H58" s="257"/>
      <c r="I58" s="257"/>
      <c r="J58" s="257"/>
      <c r="K58" s="257"/>
      <c r="L58" s="258"/>
      <c r="M58" s="258"/>
      <c r="N58" s="258"/>
      <c r="O58" s="258"/>
      <c r="P58" s="258"/>
      <c r="Q58" s="249"/>
      <c r="R58" s="249"/>
      <c r="S58" s="249"/>
      <c r="T58" s="249"/>
      <c r="U58" s="249"/>
      <c r="V58" s="249"/>
      <c r="W58" s="249"/>
      <c r="X58" s="249"/>
      <c r="Y58" s="249"/>
      <c r="Z58" s="249"/>
      <c r="AA58" s="249"/>
      <c r="AB58" s="249"/>
      <c r="AC58" s="249"/>
      <c r="AD58" s="249"/>
      <c r="AE58" s="249"/>
      <c r="AF58" s="249"/>
      <c r="AG58" s="249"/>
      <c r="AH58" s="249"/>
      <c r="AI58" s="249"/>
      <c r="AJ58" s="249"/>
      <c r="AK58" s="253"/>
      <c r="AL58" s="254"/>
      <c r="AM58" s="254"/>
      <c r="AN58" s="254"/>
      <c r="AO58" s="254"/>
      <c r="AP58" s="254"/>
      <c r="AQ58" s="255"/>
    </row>
    <row r="59" spans="1:43" ht="39.950000000000003" customHeight="1" x14ac:dyDescent="0.25">
      <c r="A59" s="21">
        <f t="shared" si="0"/>
        <v>48</v>
      </c>
      <c r="B59" s="259" t="s">
        <v>316</v>
      </c>
      <c r="C59" s="259"/>
      <c r="D59" s="259"/>
      <c r="E59" s="258"/>
      <c r="F59" s="258"/>
      <c r="G59" s="258"/>
      <c r="H59" s="257"/>
      <c r="I59" s="257"/>
      <c r="J59" s="257"/>
      <c r="K59" s="257"/>
      <c r="L59" s="258"/>
      <c r="M59" s="258"/>
      <c r="N59" s="258"/>
      <c r="O59" s="258"/>
      <c r="P59" s="258"/>
      <c r="Q59" s="249"/>
      <c r="R59" s="249"/>
      <c r="S59" s="249"/>
      <c r="T59" s="249"/>
      <c r="U59" s="249"/>
      <c r="V59" s="249"/>
      <c r="W59" s="249"/>
      <c r="X59" s="249"/>
      <c r="Y59" s="249"/>
      <c r="Z59" s="249"/>
      <c r="AA59" s="249"/>
      <c r="AB59" s="249"/>
      <c r="AC59" s="249"/>
      <c r="AD59" s="249"/>
      <c r="AE59" s="249"/>
      <c r="AF59" s="249"/>
      <c r="AG59" s="249"/>
      <c r="AH59" s="249"/>
      <c r="AI59" s="249"/>
      <c r="AJ59" s="249"/>
      <c r="AK59" s="253"/>
      <c r="AL59" s="254"/>
      <c r="AM59" s="254"/>
      <c r="AN59" s="254"/>
      <c r="AO59" s="254"/>
      <c r="AP59" s="254"/>
      <c r="AQ59" s="255"/>
    </row>
    <row r="60" spans="1:43" ht="39.950000000000003" customHeight="1" x14ac:dyDescent="0.25">
      <c r="A60" s="21">
        <f t="shared" si="0"/>
        <v>49</v>
      </c>
      <c r="B60" s="259" t="s">
        <v>316</v>
      </c>
      <c r="C60" s="259"/>
      <c r="D60" s="259"/>
      <c r="E60" s="258"/>
      <c r="F60" s="258"/>
      <c r="G60" s="258"/>
      <c r="H60" s="257"/>
      <c r="I60" s="257"/>
      <c r="J60" s="257"/>
      <c r="K60" s="257"/>
      <c r="L60" s="258"/>
      <c r="M60" s="258"/>
      <c r="N60" s="258"/>
      <c r="O60" s="258"/>
      <c r="P60" s="258"/>
      <c r="Q60" s="249"/>
      <c r="R60" s="249"/>
      <c r="S60" s="249"/>
      <c r="T60" s="249"/>
      <c r="U60" s="249"/>
      <c r="V60" s="249"/>
      <c r="W60" s="249"/>
      <c r="X60" s="249"/>
      <c r="Y60" s="249"/>
      <c r="Z60" s="249"/>
      <c r="AA60" s="249"/>
      <c r="AB60" s="249"/>
      <c r="AC60" s="249"/>
      <c r="AD60" s="249"/>
      <c r="AE60" s="249"/>
      <c r="AF60" s="249"/>
      <c r="AG60" s="249"/>
      <c r="AH60" s="249"/>
      <c r="AI60" s="249"/>
      <c r="AJ60" s="249"/>
      <c r="AK60" s="253"/>
      <c r="AL60" s="254"/>
      <c r="AM60" s="254"/>
      <c r="AN60" s="254"/>
      <c r="AO60" s="254"/>
      <c r="AP60" s="254"/>
      <c r="AQ60" s="255"/>
    </row>
    <row r="61" spans="1:43" ht="39.950000000000003" customHeight="1" x14ac:dyDescent="0.25">
      <c r="A61" s="21">
        <f t="shared" si="0"/>
        <v>50</v>
      </c>
      <c r="B61" s="259" t="s">
        <v>316</v>
      </c>
      <c r="C61" s="259"/>
      <c r="D61" s="259"/>
      <c r="E61" s="258"/>
      <c r="F61" s="258"/>
      <c r="G61" s="258"/>
      <c r="H61" s="257"/>
      <c r="I61" s="257"/>
      <c r="J61" s="257"/>
      <c r="K61" s="257"/>
      <c r="L61" s="258"/>
      <c r="M61" s="258"/>
      <c r="N61" s="258"/>
      <c r="O61" s="258"/>
      <c r="P61" s="258"/>
      <c r="Q61" s="249"/>
      <c r="R61" s="249"/>
      <c r="S61" s="249"/>
      <c r="T61" s="249"/>
      <c r="U61" s="249"/>
      <c r="V61" s="249"/>
      <c r="W61" s="249"/>
      <c r="X61" s="249"/>
      <c r="Y61" s="249"/>
      <c r="Z61" s="249"/>
      <c r="AA61" s="249"/>
      <c r="AB61" s="249"/>
      <c r="AC61" s="249"/>
      <c r="AD61" s="249"/>
      <c r="AE61" s="249"/>
      <c r="AF61" s="249"/>
      <c r="AG61" s="249"/>
      <c r="AH61" s="249"/>
      <c r="AI61" s="249"/>
      <c r="AJ61" s="249"/>
      <c r="AK61" s="253"/>
      <c r="AL61" s="254"/>
      <c r="AM61" s="254"/>
      <c r="AN61" s="254"/>
      <c r="AO61" s="254"/>
      <c r="AP61" s="254"/>
      <c r="AQ61" s="255"/>
    </row>
    <row r="62" spans="1:43" ht="39.950000000000003" customHeight="1" x14ac:dyDescent="0.25">
      <c r="A62" s="21">
        <f>ROW(A51)</f>
        <v>51</v>
      </c>
      <c r="B62" s="259" t="s">
        <v>316</v>
      </c>
      <c r="C62" s="259"/>
      <c r="D62" s="259"/>
      <c r="E62" s="258"/>
      <c r="F62" s="258"/>
      <c r="G62" s="258"/>
      <c r="H62" s="257"/>
      <c r="I62" s="257"/>
      <c r="J62" s="257"/>
      <c r="K62" s="257"/>
      <c r="L62" s="258"/>
      <c r="M62" s="258"/>
      <c r="N62" s="258"/>
      <c r="O62" s="258"/>
      <c r="P62" s="258"/>
      <c r="Q62" s="249"/>
      <c r="R62" s="249"/>
      <c r="S62" s="249"/>
      <c r="T62" s="249"/>
      <c r="U62" s="249"/>
      <c r="V62" s="249"/>
      <c r="W62" s="249"/>
      <c r="X62" s="249"/>
      <c r="Y62" s="249"/>
      <c r="Z62" s="249"/>
      <c r="AA62" s="249"/>
      <c r="AB62" s="249"/>
      <c r="AC62" s="249"/>
      <c r="AD62" s="249"/>
      <c r="AE62" s="249"/>
      <c r="AF62" s="249"/>
      <c r="AG62" s="249"/>
      <c r="AH62" s="249"/>
      <c r="AI62" s="249"/>
      <c r="AJ62" s="249"/>
      <c r="AK62" s="253"/>
      <c r="AL62" s="254"/>
      <c r="AM62" s="254"/>
      <c r="AN62" s="254"/>
      <c r="AO62" s="254"/>
      <c r="AP62" s="254"/>
      <c r="AQ62" s="255"/>
    </row>
    <row r="63" spans="1:43" ht="39.950000000000003" customHeight="1" x14ac:dyDescent="0.25">
      <c r="A63" s="21">
        <f t="shared" si="0"/>
        <v>52</v>
      </c>
      <c r="B63" s="259" t="s">
        <v>316</v>
      </c>
      <c r="C63" s="259"/>
      <c r="D63" s="259"/>
      <c r="E63" s="258"/>
      <c r="F63" s="258"/>
      <c r="G63" s="258"/>
      <c r="H63" s="257"/>
      <c r="I63" s="257"/>
      <c r="J63" s="257"/>
      <c r="K63" s="257"/>
      <c r="L63" s="258"/>
      <c r="M63" s="258"/>
      <c r="N63" s="258"/>
      <c r="O63" s="258"/>
      <c r="P63" s="258"/>
      <c r="Q63" s="249"/>
      <c r="R63" s="249"/>
      <c r="S63" s="249"/>
      <c r="T63" s="249"/>
      <c r="U63" s="249"/>
      <c r="V63" s="249"/>
      <c r="W63" s="249"/>
      <c r="X63" s="249"/>
      <c r="Y63" s="249"/>
      <c r="Z63" s="249"/>
      <c r="AA63" s="249"/>
      <c r="AB63" s="249"/>
      <c r="AC63" s="249"/>
      <c r="AD63" s="249"/>
      <c r="AE63" s="249"/>
      <c r="AF63" s="249"/>
      <c r="AG63" s="249"/>
      <c r="AH63" s="249"/>
      <c r="AI63" s="249"/>
      <c r="AJ63" s="249"/>
      <c r="AK63" s="253"/>
      <c r="AL63" s="254"/>
      <c r="AM63" s="254"/>
      <c r="AN63" s="254"/>
      <c r="AO63" s="254"/>
      <c r="AP63" s="254"/>
      <c r="AQ63" s="255"/>
    </row>
    <row r="64" spans="1:43" ht="39.950000000000003" customHeight="1" x14ac:dyDescent="0.25">
      <c r="A64" s="21">
        <f t="shared" si="0"/>
        <v>53</v>
      </c>
      <c r="B64" s="259" t="s">
        <v>316</v>
      </c>
      <c r="C64" s="259"/>
      <c r="D64" s="259"/>
      <c r="E64" s="258"/>
      <c r="F64" s="258"/>
      <c r="G64" s="258"/>
      <c r="H64" s="257"/>
      <c r="I64" s="257"/>
      <c r="J64" s="257"/>
      <c r="K64" s="257"/>
      <c r="L64" s="258"/>
      <c r="M64" s="258"/>
      <c r="N64" s="258"/>
      <c r="O64" s="258"/>
      <c r="P64" s="258"/>
      <c r="Q64" s="249"/>
      <c r="R64" s="249"/>
      <c r="S64" s="249"/>
      <c r="T64" s="249"/>
      <c r="U64" s="249"/>
      <c r="V64" s="249"/>
      <c r="W64" s="249"/>
      <c r="X64" s="249"/>
      <c r="Y64" s="249"/>
      <c r="Z64" s="249"/>
      <c r="AA64" s="249"/>
      <c r="AB64" s="249"/>
      <c r="AC64" s="249"/>
      <c r="AD64" s="249"/>
      <c r="AE64" s="249"/>
      <c r="AF64" s="249"/>
      <c r="AG64" s="249"/>
      <c r="AH64" s="249"/>
      <c r="AI64" s="249"/>
      <c r="AJ64" s="249"/>
      <c r="AK64" s="253"/>
      <c r="AL64" s="254"/>
      <c r="AM64" s="254"/>
      <c r="AN64" s="254"/>
      <c r="AO64" s="254"/>
      <c r="AP64" s="254"/>
      <c r="AQ64" s="255"/>
    </row>
    <row r="65" spans="1:43" ht="39.950000000000003" customHeight="1" x14ac:dyDescent="0.25">
      <c r="A65" s="21">
        <f t="shared" si="0"/>
        <v>54</v>
      </c>
      <c r="B65" s="259" t="s">
        <v>316</v>
      </c>
      <c r="C65" s="259"/>
      <c r="D65" s="259"/>
      <c r="E65" s="258"/>
      <c r="F65" s="258"/>
      <c r="G65" s="258"/>
      <c r="H65" s="257"/>
      <c r="I65" s="257"/>
      <c r="J65" s="257"/>
      <c r="K65" s="257"/>
      <c r="L65" s="258"/>
      <c r="M65" s="258"/>
      <c r="N65" s="258"/>
      <c r="O65" s="258"/>
      <c r="P65" s="258"/>
      <c r="Q65" s="249"/>
      <c r="R65" s="249"/>
      <c r="S65" s="249"/>
      <c r="T65" s="249"/>
      <c r="U65" s="249"/>
      <c r="V65" s="249"/>
      <c r="W65" s="249"/>
      <c r="X65" s="249"/>
      <c r="Y65" s="249"/>
      <c r="Z65" s="249"/>
      <c r="AA65" s="249"/>
      <c r="AB65" s="249"/>
      <c r="AC65" s="249"/>
      <c r="AD65" s="249"/>
      <c r="AE65" s="249"/>
      <c r="AF65" s="249"/>
      <c r="AG65" s="249"/>
      <c r="AH65" s="249"/>
      <c r="AI65" s="249"/>
      <c r="AJ65" s="249"/>
      <c r="AK65" s="253"/>
      <c r="AL65" s="254"/>
      <c r="AM65" s="254"/>
      <c r="AN65" s="254"/>
      <c r="AO65" s="254"/>
      <c r="AP65" s="254"/>
      <c r="AQ65" s="255"/>
    </row>
    <row r="66" spans="1:43" ht="39.950000000000003" customHeight="1" x14ac:dyDescent="0.25">
      <c r="A66" s="21">
        <f t="shared" si="0"/>
        <v>55</v>
      </c>
      <c r="B66" s="259" t="s">
        <v>316</v>
      </c>
      <c r="C66" s="259"/>
      <c r="D66" s="259"/>
      <c r="E66" s="258"/>
      <c r="F66" s="258"/>
      <c r="G66" s="258"/>
      <c r="H66" s="257"/>
      <c r="I66" s="257"/>
      <c r="J66" s="257"/>
      <c r="K66" s="257"/>
      <c r="L66" s="258"/>
      <c r="M66" s="258"/>
      <c r="N66" s="258"/>
      <c r="O66" s="258"/>
      <c r="P66" s="258"/>
      <c r="Q66" s="249"/>
      <c r="R66" s="249"/>
      <c r="S66" s="249"/>
      <c r="T66" s="249"/>
      <c r="U66" s="249"/>
      <c r="V66" s="249"/>
      <c r="W66" s="249"/>
      <c r="X66" s="249"/>
      <c r="Y66" s="249"/>
      <c r="Z66" s="249"/>
      <c r="AA66" s="249"/>
      <c r="AB66" s="249"/>
      <c r="AC66" s="249"/>
      <c r="AD66" s="249"/>
      <c r="AE66" s="249"/>
      <c r="AF66" s="249"/>
      <c r="AG66" s="249"/>
      <c r="AH66" s="249"/>
      <c r="AI66" s="249"/>
      <c r="AJ66" s="249"/>
      <c r="AK66" s="253"/>
      <c r="AL66" s="254"/>
      <c r="AM66" s="254"/>
      <c r="AN66" s="254"/>
      <c r="AO66" s="254"/>
      <c r="AP66" s="254"/>
      <c r="AQ66" s="255"/>
    </row>
    <row r="67" spans="1:43" ht="39.950000000000003" customHeight="1" x14ac:dyDescent="0.25">
      <c r="A67" s="21">
        <f t="shared" si="0"/>
        <v>56</v>
      </c>
      <c r="B67" s="259" t="s">
        <v>316</v>
      </c>
      <c r="C67" s="259"/>
      <c r="D67" s="259"/>
      <c r="E67" s="258"/>
      <c r="F67" s="258"/>
      <c r="G67" s="258"/>
      <c r="H67" s="257"/>
      <c r="I67" s="257"/>
      <c r="J67" s="257"/>
      <c r="K67" s="257"/>
      <c r="L67" s="258"/>
      <c r="M67" s="258"/>
      <c r="N67" s="258"/>
      <c r="O67" s="258"/>
      <c r="P67" s="258"/>
      <c r="Q67" s="249"/>
      <c r="R67" s="249"/>
      <c r="S67" s="249"/>
      <c r="T67" s="249"/>
      <c r="U67" s="249"/>
      <c r="V67" s="249"/>
      <c r="W67" s="249"/>
      <c r="X67" s="249"/>
      <c r="Y67" s="249"/>
      <c r="Z67" s="249"/>
      <c r="AA67" s="249"/>
      <c r="AB67" s="249"/>
      <c r="AC67" s="249"/>
      <c r="AD67" s="249"/>
      <c r="AE67" s="249"/>
      <c r="AF67" s="249"/>
      <c r="AG67" s="249"/>
      <c r="AH67" s="249"/>
      <c r="AI67" s="249"/>
      <c r="AJ67" s="249"/>
      <c r="AK67" s="253"/>
      <c r="AL67" s="254"/>
      <c r="AM67" s="254"/>
      <c r="AN67" s="254"/>
      <c r="AO67" s="254"/>
      <c r="AP67" s="254"/>
      <c r="AQ67" s="255"/>
    </row>
    <row r="68" spans="1:43" ht="39.950000000000003" customHeight="1" x14ac:dyDescent="0.25">
      <c r="A68" s="21">
        <f t="shared" si="0"/>
        <v>57</v>
      </c>
      <c r="B68" s="259" t="s">
        <v>316</v>
      </c>
      <c r="C68" s="259"/>
      <c r="D68" s="259"/>
      <c r="E68" s="258"/>
      <c r="F68" s="258"/>
      <c r="G68" s="258"/>
      <c r="H68" s="257"/>
      <c r="I68" s="257"/>
      <c r="J68" s="257"/>
      <c r="K68" s="257"/>
      <c r="L68" s="258"/>
      <c r="M68" s="258"/>
      <c r="N68" s="258"/>
      <c r="O68" s="258"/>
      <c r="P68" s="258"/>
      <c r="Q68" s="249"/>
      <c r="R68" s="249"/>
      <c r="S68" s="249"/>
      <c r="T68" s="249"/>
      <c r="U68" s="249"/>
      <c r="V68" s="249"/>
      <c r="W68" s="249"/>
      <c r="X68" s="249"/>
      <c r="Y68" s="249"/>
      <c r="Z68" s="249"/>
      <c r="AA68" s="249"/>
      <c r="AB68" s="249"/>
      <c r="AC68" s="249"/>
      <c r="AD68" s="249"/>
      <c r="AE68" s="249"/>
      <c r="AF68" s="249"/>
      <c r="AG68" s="249"/>
      <c r="AH68" s="249"/>
      <c r="AI68" s="249"/>
      <c r="AJ68" s="249"/>
      <c r="AK68" s="253"/>
      <c r="AL68" s="254"/>
      <c r="AM68" s="254"/>
      <c r="AN68" s="254"/>
      <c r="AO68" s="254"/>
      <c r="AP68" s="254"/>
      <c r="AQ68" s="255"/>
    </row>
    <row r="69" spans="1:43" ht="39.950000000000003" customHeight="1" x14ac:dyDescent="0.25">
      <c r="A69" s="21">
        <f t="shared" si="0"/>
        <v>58</v>
      </c>
      <c r="B69" s="259" t="s">
        <v>316</v>
      </c>
      <c r="C69" s="259"/>
      <c r="D69" s="259"/>
      <c r="E69" s="258"/>
      <c r="F69" s="258"/>
      <c r="G69" s="258"/>
      <c r="H69" s="257"/>
      <c r="I69" s="257"/>
      <c r="J69" s="257"/>
      <c r="K69" s="257"/>
      <c r="L69" s="258"/>
      <c r="M69" s="258"/>
      <c r="N69" s="258"/>
      <c r="O69" s="258"/>
      <c r="P69" s="258"/>
      <c r="Q69" s="249"/>
      <c r="R69" s="249"/>
      <c r="S69" s="249"/>
      <c r="T69" s="249"/>
      <c r="U69" s="249"/>
      <c r="V69" s="249"/>
      <c r="W69" s="249"/>
      <c r="X69" s="249"/>
      <c r="Y69" s="249"/>
      <c r="Z69" s="249"/>
      <c r="AA69" s="249"/>
      <c r="AB69" s="249"/>
      <c r="AC69" s="249"/>
      <c r="AD69" s="249"/>
      <c r="AE69" s="249"/>
      <c r="AF69" s="249"/>
      <c r="AG69" s="249"/>
      <c r="AH69" s="249"/>
      <c r="AI69" s="249"/>
      <c r="AJ69" s="249"/>
      <c r="AK69" s="253"/>
      <c r="AL69" s="254"/>
      <c r="AM69" s="254"/>
      <c r="AN69" s="254"/>
      <c r="AO69" s="254"/>
      <c r="AP69" s="254"/>
      <c r="AQ69" s="255"/>
    </row>
    <row r="70" spans="1:43" ht="39.950000000000003" customHeight="1" x14ac:dyDescent="0.25">
      <c r="A70" s="21">
        <f t="shared" si="0"/>
        <v>59</v>
      </c>
      <c r="B70" s="259" t="s">
        <v>316</v>
      </c>
      <c r="C70" s="259"/>
      <c r="D70" s="259"/>
      <c r="E70" s="258"/>
      <c r="F70" s="258"/>
      <c r="G70" s="258"/>
      <c r="H70" s="257"/>
      <c r="I70" s="257"/>
      <c r="J70" s="257"/>
      <c r="K70" s="257"/>
      <c r="L70" s="258"/>
      <c r="M70" s="258"/>
      <c r="N70" s="258"/>
      <c r="O70" s="258"/>
      <c r="P70" s="258"/>
      <c r="Q70" s="249"/>
      <c r="R70" s="249"/>
      <c r="S70" s="249"/>
      <c r="T70" s="249"/>
      <c r="U70" s="249"/>
      <c r="V70" s="249"/>
      <c r="W70" s="249"/>
      <c r="X70" s="249"/>
      <c r="Y70" s="249"/>
      <c r="Z70" s="249"/>
      <c r="AA70" s="249"/>
      <c r="AB70" s="249"/>
      <c r="AC70" s="249"/>
      <c r="AD70" s="249"/>
      <c r="AE70" s="249"/>
      <c r="AF70" s="249"/>
      <c r="AG70" s="249"/>
      <c r="AH70" s="249"/>
      <c r="AI70" s="249"/>
      <c r="AJ70" s="249"/>
      <c r="AK70" s="253"/>
      <c r="AL70" s="254"/>
      <c r="AM70" s="254"/>
      <c r="AN70" s="254"/>
      <c r="AO70" s="254"/>
      <c r="AP70" s="254"/>
      <c r="AQ70" s="255"/>
    </row>
    <row r="71" spans="1:43" ht="39.950000000000003" customHeight="1" x14ac:dyDescent="0.25">
      <c r="A71" s="21">
        <f t="shared" si="0"/>
        <v>60</v>
      </c>
      <c r="B71" s="259" t="s">
        <v>316</v>
      </c>
      <c r="C71" s="259"/>
      <c r="D71" s="259"/>
      <c r="E71" s="258"/>
      <c r="F71" s="258"/>
      <c r="G71" s="258"/>
      <c r="H71" s="257"/>
      <c r="I71" s="257"/>
      <c r="J71" s="257"/>
      <c r="K71" s="257"/>
      <c r="L71" s="258"/>
      <c r="M71" s="258"/>
      <c r="N71" s="258"/>
      <c r="O71" s="258"/>
      <c r="P71" s="258"/>
      <c r="Q71" s="249"/>
      <c r="R71" s="249"/>
      <c r="S71" s="249"/>
      <c r="T71" s="249"/>
      <c r="U71" s="249"/>
      <c r="V71" s="249"/>
      <c r="W71" s="249"/>
      <c r="X71" s="249"/>
      <c r="Y71" s="249"/>
      <c r="Z71" s="249"/>
      <c r="AA71" s="249"/>
      <c r="AB71" s="249"/>
      <c r="AC71" s="249"/>
      <c r="AD71" s="249"/>
      <c r="AE71" s="249"/>
      <c r="AF71" s="249"/>
      <c r="AG71" s="249"/>
      <c r="AH71" s="249"/>
      <c r="AI71" s="249"/>
      <c r="AJ71" s="249"/>
      <c r="AK71" s="253"/>
      <c r="AL71" s="254"/>
      <c r="AM71" s="254"/>
      <c r="AN71" s="254"/>
      <c r="AO71" s="254"/>
      <c r="AP71" s="254"/>
      <c r="AQ71" s="255"/>
    </row>
    <row r="72" spans="1:43" ht="39.950000000000003" customHeight="1" x14ac:dyDescent="0.25">
      <c r="A72" s="21">
        <f>ROW(A61)</f>
        <v>61</v>
      </c>
      <c r="B72" s="259" t="s">
        <v>316</v>
      </c>
      <c r="C72" s="259"/>
      <c r="D72" s="259"/>
      <c r="E72" s="258"/>
      <c r="F72" s="258"/>
      <c r="G72" s="258"/>
      <c r="H72" s="257"/>
      <c r="I72" s="257"/>
      <c r="J72" s="257"/>
      <c r="K72" s="257"/>
      <c r="L72" s="258"/>
      <c r="M72" s="258"/>
      <c r="N72" s="258"/>
      <c r="O72" s="258"/>
      <c r="P72" s="258"/>
      <c r="Q72" s="249"/>
      <c r="R72" s="249"/>
      <c r="S72" s="249"/>
      <c r="T72" s="249"/>
      <c r="U72" s="249"/>
      <c r="V72" s="249"/>
      <c r="W72" s="249"/>
      <c r="X72" s="249"/>
      <c r="Y72" s="249"/>
      <c r="Z72" s="249"/>
      <c r="AA72" s="249"/>
      <c r="AB72" s="249"/>
      <c r="AC72" s="249"/>
      <c r="AD72" s="249"/>
      <c r="AE72" s="249"/>
      <c r="AF72" s="249"/>
      <c r="AG72" s="249"/>
      <c r="AH72" s="249"/>
      <c r="AI72" s="249"/>
      <c r="AJ72" s="249"/>
      <c r="AK72" s="253"/>
      <c r="AL72" s="254"/>
      <c r="AM72" s="254"/>
      <c r="AN72" s="254"/>
      <c r="AO72" s="254"/>
      <c r="AP72" s="254"/>
      <c r="AQ72" s="255"/>
    </row>
    <row r="73" spans="1:43" ht="39.950000000000003" customHeight="1" x14ac:dyDescent="0.25">
      <c r="A73" s="21">
        <f t="shared" si="0"/>
        <v>62</v>
      </c>
      <c r="B73" s="259" t="s">
        <v>316</v>
      </c>
      <c r="C73" s="259"/>
      <c r="D73" s="259"/>
      <c r="E73" s="258"/>
      <c r="F73" s="258"/>
      <c r="G73" s="258"/>
      <c r="H73" s="257"/>
      <c r="I73" s="257"/>
      <c r="J73" s="257"/>
      <c r="K73" s="257"/>
      <c r="L73" s="258"/>
      <c r="M73" s="258"/>
      <c r="N73" s="258"/>
      <c r="O73" s="258"/>
      <c r="P73" s="258"/>
      <c r="Q73" s="249"/>
      <c r="R73" s="249"/>
      <c r="S73" s="249"/>
      <c r="T73" s="249"/>
      <c r="U73" s="249"/>
      <c r="V73" s="249"/>
      <c r="W73" s="249"/>
      <c r="X73" s="249"/>
      <c r="Y73" s="249"/>
      <c r="Z73" s="249"/>
      <c r="AA73" s="249"/>
      <c r="AB73" s="249"/>
      <c r="AC73" s="249"/>
      <c r="AD73" s="249"/>
      <c r="AE73" s="249"/>
      <c r="AF73" s="249"/>
      <c r="AG73" s="249"/>
      <c r="AH73" s="249"/>
      <c r="AI73" s="249"/>
      <c r="AJ73" s="249"/>
      <c r="AK73" s="253"/>
      <c r="AL73" s="254"/>
      <c r="AM73" s="254"/>
      <c r="AN73" s="254"/>
      <c r="AO73" s="254"/>
      <c r="AP73" s="254"/>
      <c r="AQ73" s="255"/>
    </row>
    <row r="74" spans="1:43" ht="39.950000000000003" customHeight="1" x14ac:dyDescent="0.25">
      <c r="A74" s="21">
        <f t="shared" si="0"/>
        <v>63</v>
      </c>
      <c r="B74" s="259" t="s">
        <v>316</v>
      </c>
      <c r="C74" s="259"/>
      <c r="D74" s="259"/>
      <c r="E74" s="258"/>
      <c r="F74" s="258"/>
      <c r="G74" s="258"/>
      <c r="H74" s="257"/>
      <c r="I74" s="257"/>
      <c r="J74" s="257"/>
      <c r="K74" s="257"/>
      <c r="L74" s="258"/>
      <c r="M74" s="258"/>
      <c r="N74" s="258"/>
      <c r="O74" s="258"/>
      <c r="P74" s="258"/>
      <c r="Q74" s="249"/>
      <c r="R74" s="249"/>
      <c r="S74" s="249"/>
      <c r="T74" s="249"/>
      <c r="U74" s="249"/>
      <c r="V74" s="249"/>
      <c r="W74" s="249"/>
      <c r="X74" s="249"/>
      <c r="Y74" s="249"/>
      <c r="Z74" s="249"/>
      <c r="AA74" s="249"/>
      <c r="AB74" s="249"/>
      <c r="AC74" s="249"/>
      <c r="AD74" s="249"/>
      <c r="AE74" s="249"/>
      <c r="AF74" s="249"/>
      <c r="AG74" s="249"/>
      <c r="AH74" s="249"/>
      <c r="AI74" s="249"/>
      <c r="AJ74" s="249"/>
      <c r="AK74" s="253"/>
      <c r="AL74" s="254"/>
      <c r="AM74" s="254"/>
      <c r="AN74" s="254"/>
      <c r="AO74" s="254"/>
      <c r="AP74" s="254"/>
      <c r="AQ74" s="255"/>
    </row>
    <row r="75" spans="1:43" ht="39.950000000000003" customHeight="1" x14ac:dyDescent="0.25">
      <c r="A75" s="21">
        <f t="shared" si="0"/>
        <v>64</v>
      </c>
      <c r="B75" s="259" t="s">
        <v>316</v>
      </c>
      <c r="C75" s="259"/>
      <c r="D75" s="259"/>
      <c r="E75" s="258"/>
      <c r="F75" s="258"/>
      <c r="G75" s="258"/>
      <c r="H75" s="257"/>
      <c r="I75" s="257"/>
      <c r="J75" s="257"/>
      <c r="K75" s="257"/>
      <c r="L75" s="258"/>
      <c r="M75" s="258"/>
      <c r="N75" s="258"/>
      <c r="O75" s="258"/>
      <c r="P75" s="258"/>
      <c r="Q75" s="249"/>
      <c r="R75" s="249"/>
      <c r="S75" s="249"/>
      <c r="T75" s="249"/>
      <c r="U75" s="249"/>
      <c r="V75" s="249"/>
      <c r="W75" s="249"/>
      <c r="X75" s="249"/>
      <c r="Y75" s="249"/>
      <c r="Z75" s="249"/>
      <c r="AA75" s="249"/>
      <c r="AB75" s="249"/>
      <c r="AC75" s="249"/>
      <c r="AD75" s="249"/>
      <c r="AE75" s="249"/>
      <c r="AF75" s="249"/>
      <c r="AG75" s="249"/>
      <c r="AH75" s="249"/>
      <c r="AI75" s="249"/>
      <c r="AJ75" s="249"/>
      <c r="AK75" s="253"/>
      <c r="AL75" s="254"/>
      <c r="AM75" s="254"/>
      <c r="AN75" s="254"/>
      <c r="AO75" s="254"/>
      <c r="AP75" s="254"/>
      <c r="AQ75" s="255"/>
    </row>
    <row r="76" spans="1:43" ht="39.950000000000003" customHeight="1" x14ac:dyDescent="0.25">
      <c r="A76" s="21">
        <f t="shared" si="0"/>
        <v>65</v>
      </c>
      <c r="B76" s="259" t="s">
        <v>316</v>
      </c>
      <c r="C76" s="259"/>
      <c r="D76" s="259"/>
      <c r="E76" s="258"/>
      <c r="F76" s="258"/>
      <c r="G76" s="258"/>
      <c r="H76" s="257"/>
      <c r="I76" s="257"/>
      <c r="J76" s="257"/>
      <c r="K76" s="257"/>
      <c r="L76" s="258"/>
      <c r="M76" s="258"/>
      <c r="N76" s="258"/>
      <c r="O76" s="258"/>
      <c r="P76" s="258"/>
      <c r="Q76" s="249"/>
      <c r="R76" s="249"/>
      <c r="S76" s="249"/>
      <c r="T76" s="249"/>
      <c r="U76" s="249"/>
      <c r="V76" s="249"/>
      <c r="W76" s="249"/>
      <c r="X76" s="249"/>
      <c r="Y76" s="249"/>
      <c r="Z76" s="249"/>
      <c r="AA76" s="249"/>
      <c r="AB76" s="249"/>
      <c r="AC76" s="249"/>
      <c r="AD76" s="249"/>
      <c r="AE76" s="249"/>
      <c r="AF76" s="249"/>
      <c r="AG76" s="249"/>
      <c r="AH76" s="249"/>
      <c r="AI76" s="249"/>
      <c r="AJ76" s="249"/>
      <c r="AK76" s="253"/>
      <c r="AL76" s="254"/>
      <c r="AM76" s="254"/>
      <c r="AN76" s="254"/>
      <c r="AO76" s="254"/>
      <c r="AP76" s="254"/>
      <c r="AQ76" s="255"/>
    </row>
    <row r="77" spans="1:43" ht="39.950000000000003" customHeight="1" x14ac:dyDescent="0.25">
      <c r="A77" s="21">
        <f t="shared" ref="A77:A81" si="1">ROW(A66)</f>
        <v>66</v>
      </c>
      <c r="B77" s="259" t="s">
        <v>316</v>
      </c>
      <c r="C77" s="259"/>
      <c r="D77" s="259"/>
      <c r="E77" s="258"/>
      <c r="F77" s="258"/>
      <c r="G77" s="258"/>
      <c r="H77" s="257"/>
      <c r="I77" s="257"/>
      <c r="J77" s="257"/>
      <c r="K77" s="257"/>
      <c r="L77" s="258"/>
      <c r="M77" s="258"/>
      <c r="N77" s="258"/>
      <c r="O77" s="258"/>
      <c r="P77" s="258"/>
      <c r="Q77" s="249"/>
      <c r="R77" s="249"/>
      <c r="S77" s="249"/>
      <c r="T77" s="249"/>
      <c r="U77" s="249"/>
      <c r="V77" s="249"/>
      <c r="W77" s="249"/>
      <c r="X77" s="249"/>
      <c r="Y77" s="249"/>
      <c r="Z77" s="249"/>
      <c r="AA77" s="249"/>
      <c r="AB77" s="249"/>
      <c r="AC77" s="249"/>
      <c r="AD77" s="249"/>
      <c r="AE77" s="249"/>
      <c r="AF77" s="249"/>
      <c r="AG77" s="249"/>
      <c r="AH77" s="249"/>
      <c r="AI77" s="249"/>
      <c r="AJ77" s="249"/>
      <c r="AK77" s="253"/>
      <c r="AL77" s="254"/>
      <c r="AM77" s="254"/>
      <c r="AN77" s="254"/>
      <c r="AO77" s="254"/>
      <c r="AP77" s="254"/>
      <c r="AQ77" s="255"/>
    </row>
    <row r="78" spans="1:43" ht="39.950000000000003" customHeight="1" x14ac:dyDescent="0.25">
      <c r="A78" s="21">
        <f t="shared" si="1"/>
        <v>67</v>
      </c>
      <c r="B78" s="259" t="s">
        <v>316</v>
      </c>
      <c r="C78" s="259"/>
      <c r="D78" s="259"/>
      <c r="E78" s="258"/>
      <c r="F78" s="258"/>
      <c r="G78" s="258"/>
      <c r="H78" s="257"/>
      <c r="I78" s="257"/>
      <c r="J78" s="257"/>
      <c r="K78" s="257"/>
      <c r="L78" s="258"/>
      <c r="M78" s="258"/>
      <c r="N78" s="258"/>
      <c r="O78" s="258"/>
      <c r="P78" s="258"/>
      <c r="Q78" s="249"/>
      <c r="R78" s="249"/>
      <c r="S78" s="249"/>
      <c r="T78" s="249"/>
      <c r="U78" s="249"/>
      <c r="V78" s="249"/>
      <c r="W78" s="249"/>
      <c r="X78" s="249"/>
      <c r="Y78" s="249"/>
      <c r="Z78" s="249"/>
      <c r="AA78" s="249"/>
      <c r="AB78" s="249"/>
      <c r="AC78" s="249"/>
      <c r="AD78" s="249"/>
      <c r="AE78" s="249"/>
      <c r="AF78" s="249"/>
      <c r="AG78" s="249"/>
      <c r="AH78" s="249"/>
      <c r="AI78" s="249"/>
      <c r="AJ78" s="249"/>
      <c r="AK78" s="253"/>
      <c r="AL78" s="254"/>
      <c r="AM78" s="254"/>
      <c r="AN78" s="254"/>
      <c r="AO78" s="254"/>
      <c r="AP78" s="254"/>
      <c r="AQ78" s="255"/>
    </row>
    <row r="79" spans="1:43" ht="39.950000000000003" customHeight="1" x14ac:dyDescent="0.25">
      <c r="A79" s="21">
        <f t="shared" si="1"/>
        <v>68</v>
      </c>
      <c r="B79" s="259" t="s">
        <v>316</v>
      </c>
      <c r="C79" s="259"/>
      <c r="D79" s="259"/>
      <c r="E79" s="258"/>
      <c r="F79" s="258"/>
      <c r="G79" s="258"/>
      <c r="H79" s="257"/>
      <c r="I79" s="257"/>
      <c r="J79" s="257"/>
      <c r="K79" s="257"/>
      <c r="L79" s="258"/>
      <c r="M79" s="258"/>
      <c r="N79" s="258"/>
      <c r="O79" s="258"/>
      <c r="P79" s="258"/>
      <c r="Q79" s="249"/>
      <c r="R79" s="249"/>
      <c r="S79" s="249"/>
      <c r="T79" s="249"/>
      <c r="U79" s="249"/>
      <c r="V79" s="249"/>
      <c r="W79" s="249"/>
      <c r="X79" s="249"/>
      <c r="Y79" s="249"/>
      <c r="Z79" s="249"/>
      <c r="AA79" s="249"/>
      <c r="AB79" s="249"/>
      <c r="AC79" s="249"/>
      <c r="AD79" s="249"/>
      <c r="AE79" s="249"/>
      <c r="AF79" s="249"/>
      <c r="AG79" s="249"/>
      <c r="AH79" s="249"/>
      <c r="AI79" s="249"/>
      <c r="AJ79" s="249"/>
      <c r="AK79" s="253"/>
      <c r="AL79" s="254"/>
      <c r="AM79" s="254"/>
      <c r="AN79" s="254"/>
      <c r="AO79" s="254"/>
      <c r="AP79" s="254"/>
      <c r="AQ79" s="255"/>
    </row>
    <row r="80" spans="1:43" ht="39.950000000000003" customHeight="1" x14ac:dyDescent="0.25">
      <c r="A80" s="21">
        <f t="shared" si="1"/>
        <v>69</v>
      </c>
      <c r="B80" s="259" t="s">
        <v>316</v>
      </c>
      <c r="C80" s="259"/>
      <c r="D80" s="259"/>
      <c r="E80" s="258"/>
      <c r="F80" s="258"/>
      <c r="G80" s="258"/>
      <c r="H80" s="257"/>
      <c r="I80" s="257"/>
      <c r="J80" s="257"/>
      <c r="K80" s="257"/>
      <c r="L80" s="258"/>
      <c r="M80" s="258"/>
      <c r="N80" s="258"/>
      <c r="O80" s="258"/>
      <c r="P80" s="258"/>
      <c r="Q80" s="249"/>
      <c r="R80" s="249"/>
      <c r="S80" s="249"/>
      <c r="T80" s="249"/>
      <c r="U80" s="249"/>
      <c r="V80" s="249"/>
      <c r="W80" s="249"/>
      <c r="X80" s="249"/>
      <c r="Y80" s="249"/>
      <c r="Z80" s="249"/>
      <c r="AA80" s="249"/>
      <c r="AB80" s="249"/>
      <c r="AC80" s="249"/>
      <c r="AD80" s="249"/>
      <c r="AE80" s="249"/>
      <c r="AF80" s="249"/>
      <c r="AG80" s="249"/>
      <c r="AH80" s="249"/>
      <c r="AI80" s="249"/>
      <c r="AJ80" s="249"/>
      <c r="AK80" s="253"/>
      <c r="AL80" s="254"/>
      <c r="AM80" s="254"/>
      <c r="AN80" s="254"/>
      <c r="AO80" s="254"/>
      <c r="AP80" s="254"/>
      <c r="AQ80" s="255"/>
    </row>
    <row r="81" spans="1:43" ht="39.950000000000003" customHeight="1" x14ac:dyDescent="0.25">
      <c r="A81" s="21">
        <f t="shared" si="1"/>
        <v>70</v>
      </c>
      <c r="B81" s="259" t="s">
        <v>316</v>
      </c>
      <c r="C81" s="259"/>
      <c r="D81" s="259"/>
      <c r="E81" s="258"/>
      <c r="F81" s="258"/>
      <c r="G81" s="258"/>
      <c r="H81" s="257"/>
      <c r="I81" s="257"/>
      <c r="J81" s="257"/>
      <c r="K81" s="257"/>
      <c r="L81" s="258"/>
      <c r="M81" s="258"/>
      <c r="N81" s="258"/>
      <c r="O81" s="258"/>
      <c r="P81" s="258"/>
      <c r="Q81" s="249"/>
      <c r="R81" s="249"/>
      <c r="S81" s="249"/>
      <c r="T81" s="249"/>
      <c r="U81" s="249"/>
      <c r="V81" s="249"/>
      <c r="W81" s="249"/>
      <c r="X81" s="249"/>
      <c r="Y81" s="249"/>
      <c r="Z81" s="249"/>
      <c r="AA81" s="249"/>
      <c r="AB81" s="249"/>
      <c r="AC81" s="249"/>
      <c r="AD81" s="249"/>
      <c r="AE81" s="249"/>
      <c r="AF81" s="249"/>
      <c r="AG81" s="249"/>
      <c r="AH81" s="249"/>
      <c r="AI81" s="249"/>
      <c r="AJ81" s="249"/>
      <c r="AK81" s="253"/>
      <c r="AL81" s="254"/>
      <c r="AM81" s="254"/>
      <c r="AN81" s="254"/>
      <c r="AO81" s="254"/>
      <c r="AP81" s="254"/>
      <c r="AQ81" s="255"/>
    </row>
    <row r="82" spans="1:43" ht="39.950000000000003" customHeight="1" x14ac:dyDescent="0.25">
      <c r="A82" s="21">
        <f>ROW(A71)</f>
        <v>71</v>
      </c>
      <c r="B82" s="259" t="s">
        <v>316</v>
      </c>
      <c r="C82" s="259"/>
      <c r="D82" s="259"/>
      <c r="E82" s="258"/>
      <c r="F82" s="258"/>
      <c r="G82" s="258"/>
      <c r="H82" s="257"/>
      <c r="I82" s="257"/>
      <c r="J82" s="257"/>
      <c r="K82" s="257"/>
      <c r="L82" s="258"/>
      <c r="M82" s="258"/>
      <c r="N82" s="258"/>
      <c r="O82" s="258"/>
      <c r="P82" s="258"/>
      <c r="Q82" s="249"/>
      <c r="R82" s="249"/>
      <c r="S82" s="249"/>
      <c r="T82" s="249"/>
      <c r="U82" s="249"/>
      <c r="V82" s="249"/>
      <c r="W82" s="249"/>
      <c r="X82" s="249"/>
      <c r="Y82" s="249"/>
      <c r="Z82" s="249"/>
      <c r="AA82" s="249"/>
      <c r="AB82" s="249"/>
      <c r="AC82" s="249"/>
      <c r="AD82" s="249"/>
      <c r="AE82" s="249"/>
      <c r="AF82" s="249"/>
      <c r="AG82" s="249"/>
      <c r="AH82" s="249"/>
      <c r="AI82" s="249"/>
      <c r="AJ82" s="249"/>
      <c r="AK82" s="253"/>
      <c r="AL82" s="254"/>
      <c r="AM82" s="254"/>
      <c r="AN82" s="254"/>
      <c r="AO82" s="254"/>
      <c r="AP82" s="254"/>
      <c r="AQ82" s="255"/>
    </row>
    <row r="83" spans="1:43" ht="39.950000000000003" customHeight="1" x14ac:dyDescent="0.25">
      <c r="A83" s="21">
        <f t="shared" ref="A83:A91" si="2">ROW(A72)</f>
        <v>72</v>
      </c>
      <c r="B83" s="259" t="s">
        <v>316</v>
      </c>
      <c r="C83" s="259"/>
      <c r="D83" s="259"/>
      <c r="E83" s="258"/>
      <c r="F83" s="258"/>
      <c r="G83" s="258"/>
      <c r="H83" s="257"/>
      <c r="I83" s="257"/>
      <c r="J83" s="257"/>
      <c r="K83" s="257"/>
      <c r="L83" s="258"/>
      <c r="M83" s="258"/>
      <c r="N83" s="258"/>
      <c r="O83" s="258"/>
      <c r="P83" s="258"/>
      <c r="Q83" s="249"/>
      <c r="R83" s="249"/>
      <c r="S83" s="249"/>
      <c r="T83" s="249"/>
      <c r="U83" s="249"/>
      <c r="V83" s="249"/>
      <c r="W83" s="249"/>
      <c r="X83" s="249"/>
      <c r="Y83" s="249"/>
      <c r="Z83" s="249"/>
      <c r="AA83" s="249"/>
      <c r="AB83" s="249"/>
      <c r="AC83" s="249"/>
      <c r="AD83" s="249"/>
      <c r="AE83" s="249"/>
      <c r="AF83" s="249"/>
      <c r="AG83" s="249"/>
      <c r="AH83" s="249"/>
      <c r="AI83" s="249"/>
      <c r="AJ83" s="249"/>
      <c r="AK83" s="253"/>
      <c r="AL83" s="254"/>
      <c r="AM83" s="254"/>
      <c r="AN83" s="254"/>
      <c r="AO83" s="254"/>
      <c r="AP83" s="254"/>
      <c r="AQ83" s="255"/>
    </row>
    <row r="84" spans="1:43" ht="39.950000000000003" customHeight="1" x14ac:dyDescent="0.25">
      <c r="A84" s="21">
        <f t="shared" si="2"/>
        <v>73</v>
      </c>
      <c r="B84" s="259" t="s">
        <v>316</v>
      </c>
      <c r="C84" s="259"/>
      <c r="D84" s="259"/>
      <c r="E84" s="258"/>
      <c r="F84" s="258"/>
      <c r="G84" s="258"/>
      <c r="H84" s="257"/>
      <c r="I84" s="257"/>
      <c r="J84" s="257"/>
      <c r="K84" s="257"/>
      <c r="L84" s="258"/>
      <c r="M84" s="258"/>
      <c r="N84" s="258"/>
      <c r="O84" s="258"/>
      <c r="P84" s="258"/>
      <c r="Q84" s="249"/>
      <c r="R84" s="249"/>
      <c r="S84" s="249"/>
      <c r="T84" s="249"/>
      <c r="U84" s="249"/>
      <c r="V84" s="249"/>
      <c r="W84" s="249"/>
      <c r="X84" s="249"/>
      <c r="Y84" s="249"/>
      <c r="Z84" s="249"/>
      <c r="AA84" s="249"/>
      <c r="AB84" s="249"/>
      <c r="AC84" s="249"/>
      <c r="AD84" s="249"/>
      <c r="AE84" s="249"/>
      <c r="AF84" s="249"/>
      <c r="AG84" s="249"/>
      <c r="AH84" s="249"/>
      <c r="AI84" s="249"/>
      <c r="AJ84" s="249"/>
      <c r="AK84" s="253"/>
      <c r="AL84" s="254"/>
      <c r="AM84" s="254"/>
      <c r="AN84" s="254"/>
      <c r="AO84" s="254"/>
      <c r="AP84" s="254"/>
      <c r="AQ84" s="255"/>
    </row>
    <row r="85" spans="1:43" ht="39.950000000000003" customHeight="1" x14ac:dyDescent="0.25">
      <c r="A85" s="21">
        <f t="shared" si="2"/>
        <v>74</v>
      </c>
      <c r="B85" s="259" t="s">
        <v>316</v>
      </c>
      <c r="C85" s="259"/>
      <c r="D85" s="259"/>
      <c r="E85" s="258"/>
      <c r="F85" s="258"/>
      <c r="G85" s="258"/>
      <c r="H85" s="257"/>
      <c r="I85" s="257"/>
      <c r="J85" s="257"/>
      <c r="K85" s="257"/>
      <c r="L85" s="258"/>
      <c r="M85" s="258"/>
      <c r="N85" s="258"/>
      <c r="O85" s="258"/>
      <c r="P85" s="258"/>
      <c r="Q85" s="249"/>
      <c r="R85" s="249"/>
      <c r="S85" s="249"/>
      <c r="T85" s="249"/>
      <c r="U85" s="249"/>
      <c r="V85" s="249"/>
      <c r="W85" s="249"/>
      <c r="X85" s="249"/>
      <c r="Y85" s="249"/>
      <c r="Z85" s="249"/>
      <c r="AA85" s="249"/>
      <c r="AB85" s="249"/>
      <c r="AC85" s="249"/>
      <c r="AD85" s="249"/>
      <c r="AE85" s="249"/>
      <c r="AF85" s="249"/>
      <c r="AG85" s="249"/>
      <c r="AH85" s="249"/>
      <c r="AI85" s="249"/>
      <c r="AJ85" s="249"/>
      <c r="AK85" s="253"/>
      <c r="AL85" s="254"/>
      <c r="AM85" s="254"/>
      <c r="AN85" s="254"/>
      <c r="AO85" s="254"/>
      <c r="AP85" s="254"/>
      <c r="AQ85" s="255"/>
    </row>
    <row r="86" spans="1:43" ht="39.950000000000003" customHeight="1" x14ac:dyDescent="0.25">
      <c r="A86" s="21">
        <f t="shared" si="2"/>
        <v>75</v>
      </c>
      <c r="B86" s="259" t="s">
        <v>316</v>
      </c>
      <c r="C86" s="259"/>
      <c r="D86" s="259"/>
      <c r="E86" s="258"/>
      <c r="F86" s="258"/>
      <c r="G86" s="258"/>
      <c r="H86" s="257"/>
      <c r="I86" s="257"/>
      <c r="J86" s="257"/>
      <c r="K86" s="257"/>
      <c r="L86" s="258"/>
      <c r="M86" s="258"/>
      <c r="N86" s="258"/>
      <c r="O86" s="258"/>
      <c r="P86" s="258"/>
      <c r="Q86" s="249"/>
      <c r="R86" s="249"/>
      <c r="S86" s="249"/>
      <c r="T86" s="249"/>
      <c r="U86" s="249"/>
      <c r="V86" s="249"/>
      <c r="W86" s="249"/>
      <c r="X86" s="249"/>
      <c r="Y86" s="249"/>
      <c r="Z86" s="249"/>
      <c r="AA86" s="249"/>
      <c r="AB86" s="249"/>
      <c r="AC86" s="249"/>
      <c r="AD86" s="249"/>
      <c r="AE86" s="249"/>
      <c r="AF86" s="249"/>
      <c r="AG86" s="249"/>
      <c r="AH86" s="249"/>
      <c r="AI86" s="249"/>
      <c r="AJ86" s="249"/>
      <c r="AK86" s="253"/>
      <c r="AL86" s="254"/>
      <c r="AM86" s="254"/>
      <c r="AN86" s="254"/>
      <c r="AO86" s="254"/>
      <c r="AP86" s="254"/>
      <c r="AQ86" s="255"/>
    </row>
    <row r="87" spans="1:43" ht="39.950000000000003" customHeight="1" x14ac:dyDescent="0.25">
      <c r="A87" s="21">
        <f t="shared" si="2"/>
        <v>76</v>
      </c>
      <c r="B87" s="259" t="s">
        <v>316</v>
      </c>
      <c r="C87" s="259"/>
      <c r="D87" s="259"/>
      <c r="E87" s="258"/>
      <c r="F87" s="258"/>
      <c r="G87" s="258"/>
      <c r="H87" s="257"/>
      <c r="I87" s="257"/>
      <c r="J87" s="257"/>
      <c r="K87" s="257"/>
      <c r="L87" s="258"/>
      <c r="M87" s="258"/>
      <c r="N87" s="258"/>
      <c r="O87" s="258"/>
      <c r="P87" s="258"/>
      <c r="Q87" s="249"/>
      <c r="R87" s="249"/>
      <c r="S87" s="249"/>
      <c r="T87" s="249"/>
      <c r="U87" s="249"/>
      <c r="V87" s="249"/>
      <c r="W87" s="249"/>
      <c r="X87" s="249"/>
      <c r="Y87" s="249"/>
      <c r="Z87" s="249"/>
      <c r="AA87" s="249"/>
      <c r="AB87" s="249"/>
      <c r="AC87" s="249"/>
      <c r="AD87" s="249"/>
      <c r="AE87" s="249"/>
      <c r="AF87" s="249"/>
      <c r="AG87" s="249"/>
      <c r="AH87" s="249"/>
      <c r="AI87" s="249"/>
      <c r="AJ87" s="249"/>
      <c r="AK87" s="253"/>
      <c r="AL87" s="254"/>
      <c r="AM87" s="254"/>
      <c r="AN87" s="254"/>
      <c r="AO87" s="254"/>
      <c r="AP87" s="254"/>
      <c r="AQ87" s="255"/>
    </row>
    <row r="88" spans="1:43" ht="39.950000000000003" customHeight="1" x14ac:dyDescent="0.25">
      <c r="A88" s="21">
        <f t="shared" si="2"/>
        <v>77</v>
      </c>
      <c r="B88" s="259" t="s">
        <v>316</v>
      </c>
      <c r="C88" s="259"/>
      <c r="D88" s="259"/>
      <c r="E88" s="258"/>
      <c r="F88" s="258"/>
      <c r="G88" s="258"/>
      <c r="H88" s="257"/>
      <c r="I88" s="257"/>
      <c r="J88" s="257"/>
      <c r="K88" s="257"/>
      <c r="L88" s="258"/>
      <c r="M88" s="258"/>
      <c r="N88" s="258"/>
      <c r="O88" s="258"/>
      <c r="P88" s="258"/>
      <c r="Q88" s="249"/>
      <c r="R88" s="249"/>
      <c r="S88" s="249"/>
      <c r="T88" s="249"/>
      <c r="U88" s="249"/>
      <c r="V88" s="249"/>
      <c r="W88" s="249"/>
      <c r="X88" s="249"/>
      <c r="Y88" s="249"/>
      <c r="Z88" s="249"/>
      <c r="AA88" s="249"/>
      <c r="AB88" s="249"/>
      <c r="AC88" s="249"/>
      <c r="AD88" s="249"/>
      <c r="AE88" s="249"/>
      <c r="AF88" s="249"/>
      <c r="AG88" s="249"/>
      <c r="AH88" s="249"/>
      <c r="AI88" s="249"/>
      <c r="AJ88" s="249"/>
      <c r="AK88" s="253"/>
      <c r="AL88" s="254"/>
      <c r="AM88" s="254"/>
      <c r="AN88" s="254"/>
      <c r="AO88" s="254"/>
      <c r="AP88" s="254"/>
      <c r="AQ88" s="255"/>
    </row>
    <row r="89" spans="1:43" ht="39.950000000000003" customHeight="1" x14ac:dyDescent="0.25">
      <c r="A89" s="21">
        <f t="shared" si="2"/>
        <v>78</v>
      </c>
      <c r="B89" s="259" t="s">
        <v>316</v>
      </c>
      <c r="C89" s="259"/>
      <c r="D89" s="259"/>
      <c r="E89" s="258"/>
      <c r="F89" s="258"/>
      <c r="G89" s="258"/>
      <c r="H89" s="257"/>
      <c r="I89" s="257"/>
      <c r="J89" s="257"/>
      <c r="K89" s="257"/>
      <c r="L89" s="258"/>
      <c r="M89" s="258"/>
      <c r="N89" s="258"/>
      <c r="O89" s="258"/>
      <c r="P89" s="258"/>
      <c r="Q89" s="249"/>
      <c r="R89" s="249"/>
      <c r="S89" s="249"/>
      <c r="T89" s="249"/>
      <c r="U89" s="249"/>
      <c r="V89" s="249"/>
      <c r="W89" s="249"/>
      <c r="X89" s="249"/>
      <c r="Y89" s="249"/>
      <c r="Z89" s="249"/>
      <c r="AA89" s="249"/>
      <c r="AB89" s="249"/>
      <c r="AC89" s="249"/>
      <c r="AD89" s="249"/>
      <c r="AE89" s="249"/>
      <c r="AF89" s="249"/>
      <c r="AG89" s="249"/>
      <c r="AH89" s="249"/>
      <c r="AI89" s="249"/>
      <c r="AJ89" s="249"/>
      <c r="AK89" s="253"/>
      <c r="AL89" s="254"/>
      <c r="AM89" s="254"/>
      <c r="AN89" s="254"/>
      <c r="AO89" s="254"/>
      <c r="AP89" s="254"/>
      <c r="AQ89" s="255"/>
    </row>
    <row r="90" spans="1:43" ht="39.950000000000003" customHeight="1" x14ac:dyDescent="0.25">
      <c r="A90" s="21">
        <f t="shared" si="2"/>
        <v>79</v>
      </c>
      <c r="B90" s="259" t="s">
        <v>316</v>
      </c>
      <c r="C90" s="259"/>
      <c r="D90" s="259"/>
      <c r="E90" s="258"/>
      <c r="F90" s="258"/>
      <c r="G90" s="258"/>
      <c r="H90" s="257"/>
      <c r="I90" s="257"/>
      <c r="J90" s="257"/>
      <c r="K90" s="257"/>
      <c r="L90" s="258"/>
      <c r="M90" s="258"/>
      <c r="N90" s="258"/>
      <c r="O90" s="258"/>
      <c r="P90" s="258"/>
      <c r="Q90" s="249"/>
      <c r="R90" s="249"/>
      <c r="S90" s="249"/>
      <c r="T90" s="249"/>
      <c r="U90" s="249"/>
      <c r="V90" s="249"/>
      <c r="W90" s="249"/>
      <c r="X90" s="249"/>
      <c r="Y90" s="249"/>
      <c r="Z90" s="249"/>
      <c r="AA90" s="249"/>
      <c r="AB90" s="249"/>
      <c r="AC90" s="249"/>
      <c r="AD90" s="249"/>
      <c r="AE90" s="249"/>
      <c r="AF90" s="249"/>
      <c r="AG90" s="249"/>
      <c r="AH90" s="249"/>
      <c r="AI90" s="249"/>
      <c r="AJ90" s="249"/>
      <c r="AK90" s="253"/>
      <c r="AL90" s="254"/>
      <c r="AM90" s="254"/>
      <c r="AN90" s="254"/>
      <c r="AO90" s="254"/>
      <c r="AP90" s="254"/>
      <c r="AQ90" s="255"/>
    </row>
    <row r="91" spans="1:43" ht="39.950000000000003" customHeight="1" x14ac:dyDescent="0.25">
      <c r="A91" s="21">
        <f t="shared" si="2"/>
        <v>80</v>
      </c>
      <c r="B91" s="259" t="s">
        <v>316</v>
      </c>
      <c r="C91" s="259"/>
      <c r="D91" s="259"/>
      <c r="E91" s="258"/>
      <c r="F91" s="258"/>
      <c r="G91" s="258"/>
      <c r="H91" s="257"/>
      <c r="I91" s="257"/>
      <c r="J91" s="257"/>
      <c r="K91" s="257"/>
      <c r="L91" s="258"/>
      <c r="M91" s="258"/>
      <c r="N91" s="258"/>
      <c r="O91" s="258"/>
      <c r="P91" s="258"/>
      <c r="Q91" s="249"/>
      <c r="R91" s="249"/>
      <c r="S91" s="249"/>
      <c r="T91" s="249"/>
      <c r="U91" s="249"/>
      <c r="V91" s="249"/>
      <c r="W91" s="249"/>
      <c r="X91" s="249"/>
      <c r="Y91" s="249"/>
      <c r="Z91" s="249"/>
      <c r="AA91" s="249"/>
      <c r="AB91" s="249"/>
      <c r="AC91" s="249"/>
      <c r="AD91" s="249"/>
      <c r="AE91" s="249"/>
      <c r="AF91" s="249"/>
      <c r="AG91" s="249"/>
      <c r="AH91" s="249"/>
      <c r="AI91" s="249"/>
      <c r="AJ91" s="249"/>
      <c r="AK91" s="253"/>
      <c r="AL91" s="254"/>
      <c r="AM91" s="254"/>
      <c r="AN91" s="254"/>
      <c r="AO91" s="254"/>
      <c r="AP91" s="254"/>
      <c r="AQ91" s="255"/>
    </row>
    <row r="92" spans="1:43" ht="39.950000000000003" customHeight="1" x14ac:dyDescent="0.25">
      <c r="A92" s="21">
        <f>ROW(A81)</f>
        <v>81</v>
      </c>
      <c r="B92" s="259" t="s">
        <v>316</v>
      </c>
      <c r="C92" s="259"/>
      <c r="D92" s="259"/>
      <c r="E92" s="258"/>
      <c r="F92" s="258"/>
      <c r="G92" s="258"/>
      <c r="H92" s="257"/>
      <c r="I92" s="257"/>
      <c r="J92" s="257"/>
      <c r="K92" s="257"/>
      <c r="L92" s="258"/>
      <c r="M92" s="258"/>
      <c r="N92" s="258"/>
      <c r="O92" s="258"/>
      <c r="P92" s="258"/>
      <c r="Q92" s="249"/>
      <c r="R92" s="249"/>
      <c r="S92" s="249"/>
      <c r="T92" s="249"/>
      <c r="U92" s="249"/>
      <c r="V92" s="249"/>
      <c r="W92" s="249"/>
      <c r="X92" s="249"/>
      <c r="Y92" s="249"/>
      <c r="Z92" s="249"/>
      <c r="AA92" s="249"/>
      <c r="AB92" s="249"/>
      <c r="AC92" s="249"/>
      <c r="AD92" s="249"/>
      <c r="AE92" s="249"/>
      <c r="AF92" s="249"/>
      <c r="AG92" s="249"/>
      <c r="AH92" s="249"/>
      <c r="AI92" s="249"/>
      <c r="AJ92" s="249"/>
      <c r="AK92" s="253"/>
      <c r="AL92" s="254"/>
      <c r="AM92" s="254"/>
      <c r="AN92" s="254"/>
      <c r="AO92" s="254"/>
      <c r="AP92" s="254"/>
      <c r="AQ92" s="255"/>
    </row>
    <row r="93" spans="1:43" ht="39.950000000000003" customHeight="1" x14ac:dyDescent="0.25">
      <c r="A93" s="21">
        <f t="shared" ref="A93:A101" si="3">ROW(A82)</f>
        <v>82</v>
      </c>
      <c r="B93" s="259" t="s">
        <v>316</v>
      </c>
      <c r="C93" s="259"/>
      <c r="D93" s="259"/>
      <c r="E93" s="258"/>
      <c r="F93" s="258"/>
      <c r="G93" s="258"/>
      <c r="H93" s="257"/>
      <c r="I93" s="257"/>
      <c r="J93" s="257"/>
      <c r="K93" s="257"/>
      <c r="L93" s="258"/>
      <c r="M93" s="258"/>
      <c r="N93" s="258"/>
      <c r="O93" s="258"/>
      <c r="P93" s="258"/>
      <c r="Q93" s="249"/>
      <c r="R93" s="249"/>
      <c r="S93" s="249"/>
      <c r="T93" s="249"/>
      <c r="U93" s="249"/>
      <c r="V93" s="249"/>
      <c r="W93" s="249"/>
      <c r="X93" s="249"/>
      <c r="Y93" s="249"/>
      <c r="Z93" s="249"/>
      <c r="AA93" s="249"/>
      <c r="AB93" s="249"/>
      <c r="AC93" s="249"/>
      <c r="AD93" s="249"/>
      <c r="AE93" s="249"/>
      <c r="AF93" s="249"/>
      <c r="AG93" s="249"/>
      <c r="AH93" s="249"/>
      <c r="AI93" s="249"/>
      <c r="AJ93" s="249"/>
      <c r="AK93" s="253"/>
      <c r="AL93" s="254"/>
      <c r="AM93" s="254"/>
      <c r="AN93" s="254"/>
      <c r="AO93" s="254"/>
      <c r="AP93" s="254"/>
      <c r="AQ93" s="255"/>
    </row>
    <row r="94" spans="1:43" ht="39.950000000000003" customHeight="1" x14ac:dyDescent="0.25">
      <c r="A94" s="21">
        <f t="shared" si="3"/>
        <v>83</v>
      </c>
      <c r="B94" s="259" t="s">
        <v>316</v>
      </c>
      <c r="C94" s="259"/>
      <c r="D94" s="259"/>
      <c r="E94" s="258"/>
      <c r="F94" s="258"/>
      <c r="G94" s="258"/>
      <c r="H94" s="257"/>
      <c r="I94" s="257"/>
      <c r="J94" s="257"/>
      <c r="K94" s="257"/>
      <c r="L94" s="258"/>
      <c r="M94" s="258"/>
      <c r="N94" s="258"/>
      <c r="O94" s="258"/>
      <c r="P94" s="258"/>
      <c r="Q94" s="249"/>
      <c r="R94" s="249"/>
      <c r="S94" s="249"/>
      <c r="T94" s="249"/>
      <c r="U94" s="249"/>
      <c r="V94" s="249"/>
      <c r="W94" s="249"/>
      <c r="X94" s="249"/>
      <c r="Y94" s="249"/>
      <c r="Z94" s="249"/>
      <c r="AA94" s="249"/>
      <c r="AB94" s="249"/>
      <c r="AC94" s="249"/>
      <c r="AD94" s="249"/>
      <c r="AE94" s="249"/>
      <c r="AF94" s="249"/>
      <c r="AG94" s="249"/>
      <c r="AH94" s="249"/>
      <c r="AI94" s="249"/>
      <c r="AJ94" s="249"/>
      <c r="AK94" s="253"/>
      <c r="AL94" s="254"/>
      <c r="AM94" s="254"/>
      <c r="AN94" s="254"/>
      <c r="AO94" s="254"/>
      <c r="AP94" s="254"/>
      <c r="AQ94" s="255"/>
    </row>
    <row r="95" spans="1:43" ht="39.950000000000003" customHeight="1" x14ac:dyDescent="0.25">
      <c r="A95" s="21">
        <f t="shared" si="3"/>
        <v>84</v>
      </c>
      <c r="B95" s="259" t="s">
        <v>316</v>
      </c>
      <c r="C95" s="259"/>
      <c r="D95" s="259"/>
      <c r="E95" s="258"/>
      <c r="F95" s="258"/>
      <c r="G95" s="258"/>
      <c r="H95" s="257"/>
      <c r="I95" s="257"/>
      <c r="J95" s="257"/>
      <c r="K95" s="257"/>
      <c r="L95" s="258"/>
      <c r="M95" s="258"/>
      <c r="N95" s="258"/>
      <c r="O95" s="258"/>
      <c r="P95" s="258"/>
      <c r="Q95" s="249"/>
      <c r="R95" s="249"/>
      <c r="S95" s="249"/>
      <c r="T95" s="249"/>
      <c r="U95" s="249"/>
      <c r="V95" s="249"/>
      <c r="W95" s="249"/>
      <c r="X95" s="249"/>
      <c r="Y95" s="249"/>
      <c r="Z95" s="249"/>
      <c r="AA95" s="249"/>
      <c r="AB95" s="249"/>
      <c r="AC95" s="249"/>
      <c r="AD95" s="249"/>
      <c r="AE95" s="249"/>
      <c r="AF95" s="249"/>
      <c r="AG95" s="249"/>
      <c r="AH95" s="249"/>
      <c r="AI95" s="249"/>
      <c r="AJ95" s="249"/>
      <c r="AK95" s="253"/>
      <c r="AL95" s="254"/>
      <c r="AM95" s="254"/>
      <c r="AN95" s="254"/>
      <c r="AO95" s="254"/>
      <c r="AP95" s="254"/>
      <c r="AQ95" s="255"/>
    </row>
    <row r="96" spans="1:43" ht="39.950000000000003" customHeight="1" x14ac:dyDescent="0.25">
      <c r="A96" s="21">
        <f t="shared" si="3"/>
        <v>85</v>
      </c>
      <c r="B96" s="259" t="s">
        <v>316</v>
      </c>
      <c r="C96" s="259"/>
      <c r="D96" s="259"/>
      <c r="E96" s="258"/>
      <c r="F96" s="258"/>
      <c r="G96" s="258"/>
      <c r="H96" s="257"/>
      <c r="I96" s="257"/>
      <c r="J96" s="257"/>
      <c r="K96" s="257"/>
      <c r="L96" s="258"/>
      <c r="M96" s="258"/>
      <c r="N96" s="258"/>
      <c r="O96" s="258"/>
      <c r="P96" s="258"/>
      <c r="Q96" s="249"/>
      <c r="R96" s="249"/>
      <c r="S96" s="249"/>
      <c r="T96" s="249"/>
      <c r="U96" s="249"/>
      <c r="V96" s="249"/>
      <c r="W96" s="249"/>
      <c r="X96" s="249"/>
      <c r="Y96" s="249"/>
      <c r="Z96" s="249"/>
      <c r="AA96" s="249"/>
      <c r="AB96" s="249"/>
      <c r="AC96" s="249"/>
      <c r="AD96" s="249"/>
      <c r="AE96" s="249"/>
      <c r="AF96" s="249"/>
      <c r="AG96" s="249"/>
      <c r="AH96" s="249"/>
      <c r="AI96" s="249"/>
      <c r="AJ96" s="249"/>
      <c r="AK96" s="253"/>
      <c r="AL96" s="254"/>
      <c r="AM96" s="254"/>
      <c r="AN96" s="254"/>
      <c r="AO96" s="254"/>
      <c r="AP96" s="254"/>
      <c r="AQ96" s="255"/>
    </row>
    <row r="97" spans="1:43" ht="39.950000000000003" customHeight="1" x14ac:dyDescent="0.25">
      <c r="A97" s="21">
        <f t="shared" si="3"/>
        <v>86</v>
      </c>
      <c r="B97" s="259" t="s">
        <v>316</v>
      </c>
      <c r="C97" s="259"/>
      <c r="D97" s="259"/>
      <c r="E97" s="258"/>
      <c r="F97" s="258"/>
      <c r="G97" s="258"/>
      <c r="H97" s="257"/>
      <c r="I97" s="257"/>
      <c r="J97" s="257"/>
      <c r="K97" s="257"/>
      <c r="L97" s="258"/>
      <c r="M97" s="258"/>
      <c r="N97" s="258"/>
      <c r="O97" s="258"/>
      <c r="P97" s="258"/>
      <c r="Q97" s="249"/>
      <c r="R97" s="249"/>
      <c r="S97" s="249"/>
      <c r="T97" s="249"/>
      <c r="U97" s="249"/>
      <c r="V97" s="249"/>
      <c r="W97" s="249"/>
      <c r="X97" s="249"/>
      <c r="Y97" s="249"/>
      <c r="Z97" s="249"/>
      <c r="AA97" s="249"/>
      <c r="AB97" s="249"/>
      <c r="AC97" s="249"/>
      <c r="AD97" s="249"/>
      <c r="AE97" s="249"/>
      <c r="AF97" s="249"/>
      <c r="AG97" s="249"/>
      <c r="AH97" s="249"/>
      <c r="AI97" s="249"/>
      <c r="AJ97" s="249"/>
      <c r="AK97" s="253"/>
      <c r="AL97" s="254"/>
      <c r="AM97" s="254"/>
      <c r="AN97" s="254"/>
      <c r="AO97" s="254"/>
      <c r="AP97" s="254"/>
      <c r="AQ97" s="255"/>
    </row>
    <row r="98" spans="1:43" ht="39.950000000000003" customHeight="1" x14ac:dyDescent="0.25">
      <c r="A98" s="21">
        <f t="shared" si="3"/>
        <v>87</v>
      </c>
      <c r="B98" s="259" t="s">
        <v>316</v>
      </c>
      <c r="C98" s="259"/>
      <c r="D98" s="259"/>
      <c r="E98" s="258"/>
      <c r="F98" s="258"/>
      <c r="G98" s="258"/>
      <c r="H98" s="257"/>
      <c r="I98" s="257"/>
      <c r="J98" s="257"/>
      <c r="K98" s="257"/>
      <c r="L98" s="258"/>
      <c r="M98" s="258"/>
      <c r="N98" s="258"/>
      <c r="O98" s="258"/>
      <c r="P98" s="258"/>
      <c r="Q98" s="249"/>
      <c r="R98" s="249"/>
      <c r="S98" s="249"/>
      <c r="T98" s="249"/>
      <c r="U98" s="249"/>
      <c r="V98" s="249"/>
      <c r="W98" s="249"/>
      <c r="X98" s="249"/>
      <c r="Y98" s="249"/>
      <c r="Z98" s="249"/>
      <c r="AA98" s="249"/>
      <c r="AB98" s="249"/>
      <c r="AC98" s="249"/>
      <c r="AD98" s="249"/>
      <c r="AE98" s="249"/>
      <c r="AF98" s="249"/>
      <c r="AG98" s="249"/>
      <c r="AH98" s="249"/>
      <c r="AI98" s="249"/>
      <c r="AJ98" s="249"/>
      <c r="AK98" s="253"/>
      <c r="AL98" s="254"/>
      <c r="AM98" s="254"/>
      <c r="AN98" s="254"/>
      <c r="AO98" s="254"/>
      <c r="AP98" s="254"/>
      <c r="AQ98" s="255"/>
    </row>
    <row r="99" spans="1:43" ht="39.950000000000003" customHeight="1" x14ac:dyDescent="0.25">
      <c r="A99" s="21">
        <f t="shared" si="3"/>
        <v>88</v>
      </c>
      <c r="B99" s="259" t="s">
        <v>316</v>
      </c>
      <c r="C99" s="259"/>
      <c r="D99" s="259"/>
      <c r="E99" s="258"/>
      <c r="F99" s="258"/>
      <c r="G99" s="258"/>
      <c r="H99" s="257"/>
      <c r="I99" s="257"/>
      <c r="J99" s="257"/>
      <c r="K99" s="257"/>
      <c r="L99" s="258"/>
      <c r="M99" s="258"/>
      <c r="N99" s="258"/>
      <c r="O99" s="258"/>
      <c r="P99" s="258"/>
      <c r="Q99" s="249"/>
      <c r="R99" s="249"/>
      <c r="S99" s="249"/>
      <c r="T99" s="249"/>
      <c r="U99" s="249"/>
      <c r="V99" s="249"/>
      <c r="W99" s="249"/>
      <c r="X99" s="249"/>
      <c r="Y99" s="249"/>
      <c r="Z99" s="249"/>
      <c r="AA99" s="249"/>
      <c r="AB99" s="249"/>
      <c r="AC99" s="249"/>
      <c r="AD99" s="249"/>
      <c r="AE99" s="249"/>
      <c r="AF99" s="249"/>
      <c r="AG99" s="249"/>
      <c r="AH99" s="249"/>
      <c r="AI99" s="249"/>
      <c r="AJ99" s="249"/>
      <c r="AK99" s="253"/>
      <c r="AL99" s="254"/>
      <c r="AM99" s="254"/>
      <c r="AN99" s="254"/>
      <c r="AO99" s="254"/>
      <c r="AP99" s="254"/>
      <c r="AQ99" s="255"/>
    </row>
    <row r="100" spans="1:43" ht="39.950000000000003" customHeight="1" x14ac:dyDescent="0.25">
      <c r="A100" s="21">
        <f t="shared" si="3"/>
        <v>89</v>
      </c>
      <c r="B100" s="259" t="s">
        <v>316</v>
      </c>
      <c r="C100" s="259"/>
      <c r="D100" s="259"/>
      <c r="E100" s="258"/>
      <c r="F100" s="258"/>
      <c r="G100" s="258"/>
      <c r="H100" s="257"/>
      <c r="I100" s="257"/>
      <c r="J100" s="257"/>
      <c r="K100" s="257"/>
      <c r="L100" s="258"/>
      <c r="M100" s="258"/>
      <c r="N100" s="258"/>
      <c r="O100" s="258"/>
      <c r="P100" s="258"/>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53"/>
      <c r="AL100" s="254"/>
      <c r="AM100" s="254"/>
      <c r="AN100" s="254"/>
      <c r="AO100" s="254"/>
      <c r="AP100" s="254"/>
      <c r="AQ100" s="255"/>
    </row>
    <row r="101" spans="1:43" ht="39.950000000000003" customHeight="1" x14ac:dyDescent="0.25">
      <c r="A101" s="21">
        <f t="shared" si="3"/>
        <v>90</v>
      </c>
      <c r="B101" s="259" t="s">
        <v>316</v>
      </c>
      <c r="C101" s="259"/>
      <c r="D101" s="259"/>
      <c r="E101" s="258"/>
      <c r="F101" s="258"/>
      <c r="G101" s="258"/>
      <c r="H101" s="257"/>
      <c r="I101" s="257"/>
      <c r="J101" s="257"/>
      <c r="K101" s="257"/>
      <c r="L101" s="258"/>
      <c r="M101" s="258"/>
      <c r="N101" s="258"/>
      <c r="O101" s="258"/>
      <c r="P101" s="258"/>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53"/>
      <c r="AL101" s="254"/>
      <c r="AM101" s="254"/>
      <c r="AN101" s="254"/>
      <c r="AO101" s="254"/>
      <c r="AP101" s="254"/>
      <c r="AQ101" s="255"/>
    </row>
    <row r="102" spans="1:43" ht="39.950000000000003" customHeight="1" x14ac:dyDescent="0.25">
      <c r="A102" s="21">
        <f>ROW(A91)</f>
        <v>91</v>
      </c>
      <c r="B102" s="259" t="s">
        <v>316</v>
      </c>
      <c r="C102" s="259"/>
      <c r="D102" s="259"/>
      <c r="E102" s="258"/>
      <c r="F102" s="258"/>
      <c r="G102" s="258"/>
      <c r="H102" s="257"/>
      <c r="I102" s="257"/>
      <c r="J102" s="257"/>
      <c r="K102" s="257"/>
      <c r="L102" s="258"/>
      <c r="M102" s="258"/>
      <c r="N102" s="258"/>
      <c r="O102" s="258"/>
      <c r="P102" s="258"/>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53"/>
      <c r="AL102" s="254"/>
      <c r="AM102" s="254"/>
      <c r="AN102" s="254"/>
      <c r="AO102" s="254"/>
      <c r="AP102" s="254"/>
      <c r="AQ102" s="255"/>
    </row>
    <row r="103" spans="1:43" ht="39.950000000000003" customHeight="1" x14ac:dyDescent="0.25">
      <c r="A103" s="21">
        <f t="shared" ref="A103:A111" si="4">ROW(A92)</f>
        <v>92</v>
      </c>
      <c r="B103" s="259" t="s">
        <v>316</v>
      </c>
      <c r="C103" s="259"/>
      <c r="D103" s="259"/>
      <c r="E103" s="258"/>
      <c r="F103" s="258"/>
      <c r="G103" s="258"/>
      <c r="H103" s="257"/>
      <c r="I103" s="257"/>
      <c r="J103" s="257"/>
      <c r="K103" s="257"/>
      <c r="L103" s="258"/>
      <c r="M103" s="258"/>
      <c r="N103" s="258"/>
      <c r="O103" s="258"/>
      <c r="P103" s="258"/>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53"/>
      <c r="AL103" s="254"/>
      <c r="AM103" s="254"/>
      <c r="AN103" s="254"/>
      <c r="AO103" s="254"/>
      <c r="AP103" s="254"/>
      <c r="AQ103" s="255"/>
    </row>
    <row r="104" spans="1:43" ht="39.950000000000003" customHeight="1" x14ac:dyDescent="0.25">
      <c r="A104" s="21">
        <f t="shared" si="4"/>
        <v>93</v>
      </c>
      <c r="B104" s="259" t="s">
        <v>316</v>
      </c>
      <c r="C104" s="259"/>
      <c r="D104" s="259"/>
      <c r="E104" s="258"/>
      <c r="F104" s="258"/>
      <c r="G104" s="258"/>
      <c r="H104" s="257"/>
      <c r="I104" s="257"/>
      <c r="J104" s="257"/>
      <c r="K104" s="257"/>
      <c r="L104" s="258"/>
      <c r="M104" s="258"/>
      <c r="N104" s="258"/>
      <c r="O104" s="258"/>
      <c r="P104" s="258"/>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53"/>
      <c r="AL104" s="254"/>
      <c r="AM104" s="254"/>
      <c r="AN104" s="254"/>
      <c r="AO104" s="254"/>
      <c r="AP104" s="254"/>
      <c r="AQ104" s="255"/>
    </row>
    <row r="105" spans="1:43" ht="39.950000000000003" customHeight="1" x14ac:dyDescent="0.25">
      <c r="A105" s="21">
        <f t="shared" si="4"/>
        <v>94</v>
      </c>
      <c r="B105" s="259" t="s">
        <v>316</v>
      </c>
      <c r="C105" s="259"/>
      <c r="D105" s="259"/>
      <c r="E105" s="258"/>
      <c r="F105" s="258"/>
      <c r="G105" s="258"/>
      <c r="H105" s="257"/>
      <c r="I105" s="257"/>
      <c r="J105" s="257"/>
      <c r="K105" s="257"/>
      <c r="L105" s="258"/>
      <c r="M105" s="258"/>
      <c r="N105" s="258"/>
      <c r="O105" s="258"/>
      <c r="P105" s="258"/>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53"/>
      <c r="AL105" s="254"/>
      <c r="AM105" s="254"/>
      <c r="AN105" s="254"/>
      <c r="AO105" s="254"/>
      <c r="AP105" s="254"/>
      <c r="AQ105" s="255"/>
    </row>
    <row r="106" spans="1:43" ht="39.950000000000003" customHeight="1" x14ac:dyDescent="0.25">
      <c r="A106" s="21">
        <f t="shared" si="4"/>
        <v>95</v>
      </c>
      <c r="B106" s="259" t="s">
        <v>316</v>
      </c>
      <c r="C106" s="259"/>
      <c r="D106" s="259"/>
      <c r="E106" s="258"/>
      <c r="F106" s="258"/>
      <c r="G106" s="258"/>
      <c r="H106" s="257"/>
      <c r="I106" s="257"/>
      <c r="J106" s="257"/>
      <c r="K106" s="257"/>
      <c r="L106" s="258"/>
      <c r="M106" s="258"/>
      <c r="N106" s="258"/>
      <c r="O106" s="258"/>
      <c r="P106" s="258"/>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53"/>
      <c r="AL106" s="254"/>
      <c r="AM106" s="254"/>
      <c r="AN106" s="254"/>
      <c r="AO106" s="254"/>
      <c r="AP106" s="254"/>
      <c r="AQ106" s="255"/>
    </row>
    <row r="107" spans="1:43" ht="39.950000000000003" customHeight="1" x14ac:dyDescent="0.25">
      <c r="A107" s="21">
        <f t="shared" si="4"/>
        <v>96</v>
      </c>
      <c r="B107" s="259" t="s">
        <v>316</v>
      </c>
      <c r="C107" s="259"/>
      <c r="D107" s="259"/>
      <c r="E107" s="258"/>
      <c r="F107" s="258"/>
      <c r="G107" s="258"/>
      <c r="H107" s="257"/>
      <c r="I107" s="257"/>
      <c r="J107" s="257"/>
      <c r="K107" s="257"/>
      <c r="L107" s="258"/>
      <c r="M107" s="258"/>
      <c r="N107" s="258"/>
      <c r="O107" s="258"/>
      <c r="P107" s="258"/>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53"/>
      <c r="AL107" s="254"/>
      <c r="AM107" s="254"/>
      <c r="AN107" s="254"/>
      <c r="AO107" s="254"/>
      <c r="AP107" s="254"/>
      <c r="AQ107" s="255"/>
    </row>
    <row r="108" spans="1:43" ht="39.950000000000003" customHeight="1" x14ac:dyDescent="0.25">
      <c r="A108" s="21">
        <f t="shared" si="4"/>
        <v>97</v>
      </c>
      <c r="B108" s="259" t="s">
        <v>316</v>
      </c>
      <c r="C108" s="259"/>
      <c r="D108" s="259"/>
      <c r="E108" s="258"/>
      <c r="F108" s="258"/>
      <c r="G108" s="258"/>
      <c r="H108" s="257"/>
      <c r="I108" s="257"/>
      <c r="J108" s="257"/>
      <c r="K108" s="257"/>
      <c r="L108" s="258"/>
      <c r="M108" s="258"/>
      <c r="N108" s="258"/>
      <c r="O108" s="258"/>
      <c r="P108" s="258"/>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53"/>
      <c r="AL108" s="254"/>
      <c r="AM108" s="254"/>
      <c r="AN108" s="254"/>
      <c r="AO108" s="254"/>
      <c r="AP108" s="254"/>
      <c r="AQ108" s="255"/>
    </row>
    <row r="109" spans="1:43" ht="39.950000000000003" customHeight="1" x14ac:dyDescent="0.25">
      <c r="A109" s="21">
        <f t="shared" si="4"/>
        <v>98</v>
      </c>
      <c r="B109" s="259" t="s">
        <v>316</v>
      </c>
      <c r="C109" s="259"/>
      <c r="D109" s="259"/>
      <c r="E109" s="258"/>
      <c r="F109" s="258"/>
      <c r="G109" s="258"/>
      <c r="H109" s="257"/>
      <c r="I109" s="257"/>
      <c r="J109" s="257"/>
      <c r="K109" s="257"/>
      <c r="L109" s="258"/>
      <c r="M109" s="258"/>
      <c r="N109" s="258"/>
      <c r="O109" s="258"/>
      <c r="P109" s="258"/>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53"/>
      <c r="AL109" s="254"/>
      <c r="AM109" s="254"/>
      <c r="AN109" s="254"/>
      <c r="AO109" s="254"/>
      <c r="AP109" s="254"/>
      <c r="AQ109" s="255"/>
    </row>
    <row r="110" spans="1:43" ht="39.950000000000003" customHeight="1" x14ac:dyDescent="0.25">
      <c r="A110" s="21">
        <f t="shared" si="4"/>
        <v>99</v>
      </c>
      <c r="B110" s="259" t="s">
        <v>316</v>
      </c>
      <c r="C110" s="259"/>
      <c r="D110" s="259"/>
      <c r="E110" s="258"/>
      <c r="F110" s="258"/>
      <c r="G110" s="258"/>
      <c r="H110" s="257"/>
      <c r="I110" s="257"/>
      <c r="J110" s="257"/>
      <c r="K110" s="257"/>
      <c r="L110" s="258"/>
      <c r="M110" s="258"/>
      <c r="N110" s="258"/>
      <c r="O110" s="258"/>
      <c r="P110" s="258"/>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53"/>
      <c r="AL110" s="254"/>
      <c r="AM110" s="254"/>
      <c r="AN110" s="254"/>
      <c r="AO110" s="254"/>
      <c r="AP110" s="254"/>
      <c r="AQ110" s="255"/>
    </row>
    <row r="111" spans="1:43" ht="39.950000000000003" customHeight="1" x14ac:dyDescent="0.25">
      <c r="A111" s="21">
        <f t="shared" si="4"/>
        <v>100</v>
      </c>
      <c r="B111" s="259" t="s">
        <v>316</v>
      </c>
      <c r="C111" s="259"/>
      <c r="D111" s="259"/>
      <c r="E111" s="258"/>
      <c r="F111" s="258"/>
      <c r="G111" s="258"/>
      <c r="H111" s="257"/>
      <c r="I111" s="257"/>
      <c r="J111" s="257"/>
      <c r="K111" s="257"/>
      <c r="L111" s="258"/>
      <c r="M111" s="258"/>
      <c r="N111" s="258"/>
      <c r="O111" s="258"/>
      <c r="P111" s="258"/>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53"/>
      <c r="AL111" s="254"/>
      <c r="AM111" s="254"/>
      <c r="AN111" s="254"/>
      <c r="AO111" s="254"/>
      <c r="AP111" s="254"/>
      <c r="AQ111" s="255"/>
    </row>
  </sheetData>
  <mergeCells count="737">
    <mergeCell ref="B110:D110"/>
    <mergeCell ref="E110:G110"/>
    <mergeCell ref="H110:K110"/>
    <mergeCell ref="L110:P110"/>
    <mergeCell ref="Q110:Z110"/>
    <mergeCell ref="AA110:AJ110"/>
    <mergeCell ref="AK110:AQ110"/>
    <mergeCell ref="B111:D111"/>
    <mergeCell ref="E111:G111"/>
    <mergeCell ref="H111:K111"/>
    <mergeCell ref="L111:P111"/>
    <mergeCell ref="Q111:Z111"/>
    <mergeCell ref="AA111:AJ111"/>
    <mergeCell ref="AK111:AQ111"/>
    <mergeCell ref="B108:D108"/>
    <mergeCell ref="E108:G108"/>
    <mergeCell ref="H108:K108"/>
    <mergeCell ref="L108:P108"/>
    <mergeCell ref="Q108:Z108"/>
    <mergeCell ref="AA108:AJ108"/>
    <mergeCell ref="AK108:AQ108"/>
    <mergeCell ref="B109:D109"/>
    <mergeCell ref="E109:G109"/>
    <mergeCell ref="H109:K109"/>
    <mergeCell ref="L109:P109"/>
    <mergeCell ref="Q109:Z109"/>
    <mergeCell ref="AA109:AJ109"/>
    <mergeCell ref="AK109:AQ109"/>
    <mergeCell ref="B106:D106"/>
    <mergeCell ref="E106:G106"/>
    <mergeCell ref="H106:K106"/>
    <mergeCell ref="L106:P106"/>
    <mergeCell ref="Q106:Z106"/>
    <mergeCell ref="AA106:AJ106"/>
    <mergeCell ref="AK106:AQ106"/>
    <mergeCell ref="B107:D107"/>
    <mergeCell ref="E107:G107"/>
    <mergeCell ref="H107:K107"/>
    <mergeCell ref="L107:P107"/>
    <mergeCell ref="Q107:Z107"/>
    <mergeCell ref="AA107:AJ107"/>
    <mergeCell ref="AK107:AQ107"/>
    <mergeCell ref="B104:D104"/>
    <mergeCell ref="E104:G104"/>
    <mergeCell ref="H104:K104"/>
    <mergeCell ref="L104:P104"/>
    <mergeCell ref="Q104:Z104"/>
    <mergeCell ref="AA104:AJ104"/>
    <mergeCell ref="AK104:AQ104"/>
    <mergeCell ref="B105:D105"/>
    <mergeCell ref="E105:G105"/>
    <mergeCell ref="H105:K105"/>
    <mergeCell ref="L105:P105"/>
    <mergeCell ref="Q105:Z105"/>
    <mergeCell ref="AA105:AJ105"/>
    <mergeCell ref="AK105:AQ105"/>
    <mergeCell ref="B102:D102"/>
    <mergeCell ref="E102:G102"/>
    <mergeCell ref="H102:K102"/>
    <mergeCell ref="L102:P102"/>
    <mergeCell ref="Q102:Z102"/>
    <mergeCell ref="AA102:AJ102"/>
    <mergeCell ref="AK102:AQ102"/>
    <mergeCell ref="B103:D103"/>
    <mergeCell ref="E103:G103"/>
    <mergeCell ref="H103:K103"/>
    <mergeCell ref="L103:P103"/>
    <mergeCell ref="Q103:Z103"/>
    <mergeCell ref="AA103:AJ103"/>
    <mergeCell ref="AK103:AQ103"/>
    <mergeCell ref="B100:D100"/>
    <mergeCell ref="E100:G100"/>
    <mergeCell ref="H100:K100"/>
    <mergeCell ref="L100:P100"/>
    <mergeCell ref="Q100:Z100"/>
    <mergeCell ref="AA100:AJ100"/>
    <mergeCell ref="AK100:AQ100"/>
    <mergeCell ref="B101:D101"/>
    <mergeCell ref="E101:G101"/>
    <mergeCell ref="H101:K101"/>
    <mergeCell ref="L101:P101"/>
    <mergeCell ref="Q101:Z101"/>
    <mergeCell ref="AA101:AJ101"/>
    <mergeCell ref="AK101:AQ101"/>
    <mergeCell ref="B98:D98"/>
    <mergeCell ref="E98:G98"/>
    <mergeCell ref="H98:K98"/>
    <mergeCell ref="L98:P98"/>
    <mergeCell ref="Q98:Z98"/>
    <mergeCell ref="AA98:AJ98"/>
    <mergeCell ref="AK98:AQ98"/>
    <mergeCell ref="B99:D99"/>
    <mergeCell ref="E99:G99"/>
    <mergeCell ref="H99:K99"/>
    <mergeCell ref="L99:P99"/>
    <mergeCell ref="Q99:Z99"/>
    <mergeCell ref="AA99:AJ99"/>
    <mergeCell ref="AK99:AQ99"/>
    <mergeCell ref="B96:D96"/>
    <mergeCell ref="E96:G96"/>
    <mergeCell ref="H96:K96"/>
    <mergeCell ref="L96:P96"/>
    <mergeCell ref="Q96:Z96"/>
    <mergeCell ref="AA96:AJ96"/>
    <mergeCell ref="AK96:AQ96"/>
    <mergeCell ref="B97:D97"/>
    <mergeCell ref="E97:G97"/>
    <mergeCell ref="H97:K97"/>
    <mergeCell ref="L97:P97"/>
    <mergeCell ref="Q97:Z97"/>
    <mergeCell ref="AA97:AJ97"/>
    <mergeCell ref="AK97:AQ97"/>
    <mergeCell ref="B94:D94"/>
    <mergeCell ref="E94:G94"/>
    <mergeCell ref="H94:K94"/>
    <mergeCell ref="L94:P94"/>
    <mergeCell ref="Q94:Z94"/>
    <mergeCell ref="AA94:AJ94"/>
    <mergeCell ref="AK94:AQ94"/>
    <mergeCell ref="B95:D95"/>
    <mergeCell ref="E95:G95"/>
    <mergeCell ref="H95:K95"/>
    <mergeCell ref="L95:P95"/>
    <mergeCell ref="Q95:Z95"/>
    <mergeCell ref="AA95:AJ95"/>
    <mergeCell ref="AK95:AQ95"/>
    <mergeCell ref="B92:D92"/>
    <mergeCell ref="E92:G92"/>
    <mergeCell ref="H92:K92"/>
    <mergeCell ref="L92:P92"/>
    <mergeCell ref="Q92:Z92"/>
    <mergeCell ref="AA92:AJ92"/>
    <mergeCell ref="AK92:AQ92"/>
    <mergeCell ref="B93:D93"/>
    <mergeCell ref="E93:G93"/>
    <mergeCell ref="H93:K93"/>
    <mergeCell ref="L93:P93"/>
    <mergeCell ref="Q93:Z93"/>
    <mergeCell ref="AA93:AJ93"/>
    <mergeCell ref="AK93:AQ93"/>
    <mergeCell ref="B90:D90"/>
    <mergeCell ref="E90:G90"/>
    <mergeCell ref="H90:K90"/>
    <mergeCell ref="L90:P90"/>
    <mergeCell ref="Q90:Z90"/>
    <mergeCell ref="AA90:AJ90"/>
    <mergeCell ref="AK90:AQ90"/>
    <mergeCell ref="B91:D91"/>
    <mergeCell ref="E91:G91"/>
    <mergeCell ref="H91:K91"/>
    <mergeCell ref="L91:P91"/>
    <mergeCell ref="Q91:Z91"/>
    <mergeCell ref="AA91:AJ91"/>
    <mergeCell ref="AK91:AQ91"/>
    <mergeCell ref="B88:D88"/>
    <mergeCell ref="E88:G88"/>
    <mergeCell ref="H88:K88"/>
    <mergeCell ref="L88:P88"/>
    <mergeCell ref="Q88:Z88"/>
    <mergeCell ref="AA88:AJ88"/>
    <mergeCell ref="AK88:AQ88"/>
    <mergeCell ref="B89:D89"/>
    <mergeCell ref="E89:G89"/>
    <mergeCell ref="H89:K89"/>
    <mergeCell ref="L89:P89"/>
    <mergeCell ref="Q89:Z89"/>
    <mergeCell ref="AA89:AJ89"/>
    <mergeCell ref="AK89:AQ89"/>
    <mergeCell ref="B86:D86"/>
    <mergeCell ref="E86:G86"/>
    <mergeCell ref="H86:K86"/>
    <mergeCell ref="L86:P86"/>
    <mergeCell ref="Q86:Z86"/>
    <mergeCell ref="AA86:AJ86"/>
    <mergeCell ref="AK86:AQ86"/>
    <mergeCell ref="B87:D87"/>
    <mergeCell ref="E87:G87"/>
    <mergeCell ref="H87:K87"/>
    <mergeCell ref="L87:P87"/>
    <mergeCell ref="Q87:Z87"/>
    <mergeCell ref="AA87:AJ87"/>
    <mergeCell ref="AK87:AQ87"/>
    <mergeCell ref="B84:D84"/>
    <mergeCell ref="E84:G84"/>
    <mergeCell ref="H84:K84"/>
    <mergeCell ref="L84:P84"/>
    <mergeCell ref="Q84:Z84"/>
    <mergeCell ref="AA84:AJ84"/>
    <mergeCell ref="AK84:AQ84"/>
    <mergeCell ref="B85:D85"/>
    <mergeCell ref="E85:G85"/>
    <mergeCell ref="H85:K85"/>
    <mergeCell ref="L85:P85"/>
    <mergeCell ref="Q85:Z85"/>
    <mergeCell ref="AA85:AJ85"/>
    <mergeCell ref="AK85:AQ85"/>
    <mergeCell ref="B82:D82"/>
    <mergeCell ref="E82:G82"/>
    <mergeCell ref="H82:K82"/>
    <mergeCell ref="L82:P82"/>
    <mergeCell ref="Q82:Z82"/>
    <mergeCell ref="AA82:AJ82"/>
    <mergeCell ref="AK82:AQ82"/>
    <mergeCell ref="B83:D83"/>
    <mergeCell ref="E83:G83"/>
    <mergeCell ref="H83:K83"/>
    <mergeCell ref="L83:P83"/>
    <mergeCell ref="Q83:Z83"/>
    <mergeCell ref="AA83:AJ83"/>
    <mergeCell ref="AK83:AQ83"/>
    <mergeCell ref="B80:D80"/>
    <mergeCell ref="E80:G80"/>
    <mergeCell ref="H80:K80"/>
    <mergeCell ref="L80:P80"/>
    <mergeCell ref="Q80:Z80"/>
    <mergeCell ref="AA80:AJ80"/>
    <mergeCell ref="AK80:AQ80"/>
    <mergeCell ref="B81:D81"/>
    <mergeCell ref="E81:G81"/>
    <mergeCell ref="H81:K81"/>
    <mergeCell ref="L81:P81"/>
    <mergeCell ref="Q81:Z81"/>
    <mergeCell ref="AA81:AJ81"/>
    <mergeCell ref="AK81:AQ81"/>
    <mergeCell ref="B78:D78"/>
    <mergeCell ref="E78:G78"/>
    <mergeCell ref="H78:K78"/>
    <mergeCell ref="L78:P78"/>
    <mergeCell ref="Q78:Z78"/>
    <mergeCell ref="AA78:AJ78"/>
    <mergeCell ref="AK78:AQ78"/>
    <mergeCell ref="B79:D79"/>
    <mergeCell ref="E79:G79"/>
    <mergeCell ref="H79:K79"/>
    <mergeCell ref="L79:P79"/>
    <mergeCell ref="Q79:Z79"/>
    <mergeCell ref="AA79:AJ79"/>
    <mergeCell ref="AK79:AQ79"/>
    <mergeCell ref="B76:D76"/>
    <mergeCell ref="E76:G76"/>
    <mergeCell ref="H76:K76"/>
    <mergeCell ref="L76:P76"/>
    <mergeCell ref="Q76:Z76"/>
    <mergeCell ref="AA76:AJ76"/>
    <mergeCell ref="AK76:AQ76"/>
    <mergeCell ref="B77:D77"/>
    <mergeCell ref="E77:G77"/>
    <mergeCell ref="H77:K77"/>
    <mergeCell ref="L77:P77"/>
    <mergeCell ref="Q77:Z77"/>
    <mergeCell ref="AA77:AJ77"/>
    <mergeCell ref="AK77:AQ77"/>
    <mergeCell ref="B74:D74"/>
    <mergeCell ref="E74:G74"/>
    <mergeCell ref="H74:K74"/>
    <mergeCell ref="L74:P74"/>
    <mergeCell ref="Q74:Z74"/>
    <mergeCell ref="AA74:AJ74"/>
    <mergeCell ref="AK74:AQ74"/>
    <mergeCell ref="B75:D75"/>
    <mergeCell ref="E75:G75"/>
    <mergeCell ref="H75:K75"/>
    <mergeCell ref="L75:P75"/>
    <mergeCell ref="Q75:Z75"/>
    <mergeCell ref="AA75:AJ75"/>
    <mergeCell ref="AK75:AQ75"/>
    <mergeCell ref="B72:D72"/>
    <mergeCell ref="E72:G72"/>
    <mergeCell ref="H72:K72"/>
    <mergeCell ref="L72:P72"/>
    <mergeCell ref="Q72:Z72"/>
    <mergeCell ref="AA72:AJ72"/>
    <mergeCell ref="AK72:AQ72"/>
    <mergeCell ref="B73:D73"/>
    <mergeCell ref="E73:G73"/>
    <mergeCell ref="H73:K73"/>
    <mergeCell ref="L73:P73"/>
    <mergeCell ref="Q73:Z73"/>
    <mergeCell ref="AA73:AJ73"/>
    <mergeCell ref="AK73:AQ73"/>
    <mergeCell ref="B70:D70"/>
    <mergeCell ref="E70:G70"/>
    <mergeCell ref="H70:K70"/>
    <mergeCell ref="L70:P70"/>
    <mergeCell ref="Q70:Z70"/>
    <mergeCell ref="AA70:AJ70"/>
    <mergeCell ref="AK70:AQ70"/>
    <mergeCell ref="B71:D71"/>
    <mergeCell ref="E71:G71"/>
    <mergeCell ref="H71:K71"/>
    <mergeCell ref="L71:P71"/>
    <mergeCell ref="Q71:Z71"/>
    <mergeCell ref="AA71:AJ71"/>
    <mergeCell ref="AK71:AQ71"/>
    <mergeCell ref="B68:D68"/>
    <mergeCell ref="E68:G68"/>
    <mergeCell ref="H68:K68"/>
    <mergeCell ref="L68:P68"/>
    <mergeCell ref="Q68:Z68"/>
    <mergeCell ref="AA68:AJ68"/>
    <mergeCell ref="AK68:AQ68"/>
    <mergeCell ref="B69:D69"/>
    <mergeCell ref="E69:G69"/>
    <mergeCell ref="H69:K69"/>
    <mergeCell ref="L69:P69"/>
    <mergeCell ref="Q69:Z69"/>
    <mergeCell ref="AA69:AJ69"/>
    <mergeCell ref="AK69:AQ69"/>
    <mergeCell ref="B66:D66"/>
    <mergeCell ref="E66:G66"/>
    <mergeCell ref="H66:K66"/>
    <mergeCell ref="L66:P66"/>
    <mergeCell ref="Q66:Z66"/>
    <mergeCell ref="AA66:AJ66"/>
    <mergeCell ref="AK66:AQ66"/>
    <mergeCell ref="B67:D67"/>
    <mergeCell ref="E67:G67"/>
    <mergeCell ref="H67:K67"/>
    <mergeCell ref="L67:P67"/>
    <mergeCell ref="Q67:Z67"/>
    <mergeCell ref="AA67:AJ67"/>
    <mergeCell ref="AK67:AQ67"/>
    <mergeCell ref="B64:D64"/>
    <mergeCell ref="E64:G64"/>
    <mergeCell ref="H64:K64"/>
    <mergeCell ref="L64:P64"/>
    <mergeCell ref="Q64:Z64"/>
    <mergeCell ref="AA64:AJ64"/>
    <mergeCell ref="AK64:AQ64"/>
    <mergeCell ref="B65:D65"/>
    <mergeCell ref="E65:G65"/>
    <mergeCell ref="H65:K65"/>
    <mergeCell ref="L65:P65"/>
    <mergeCell ref="Q65:Z65"/>
    <mergeCell ref="AA65:AJ65"/>
    <mergeCell ref="AK65:AQ65"/>
    <mergeCell ref="B62:D62"/>
    <mergeCell ref="E62:G62"/>
    <mergeCell ref="H62:K62"/>
    <mergeCell ref="L62:P62"/>
    <mergeCell ref="Q62:Z62"/>
    <mergeCell ref="AA62:AJ62"/>
    <mergeCell ref="AK62:AQ62"/>
    <mergeCell ref="B63:D63"/>
    <mergeCell ref="E63:G63"/>
    <mergeCell ref="H63:K63"/>
    <mergeCell ref="L63:P63"/>
    <mergeCell ref="Q63:Z63"/>
    <mergeCell ref="AA63:AJ63"/>
    <mergeCell ref="AK63:AQ63"/>
    <mergeCell ref="B60:D60"/>
    <mergeCell ref="E60:G60"/>
    <mergeCell ref="H60:K60"/>
    <mergeCell ref="L60:P60"/>
    <mergeCell ref="Q60:Z60"/>
    <mergeCell ref="AA60:AJ60"/>
    <mergeCell ref="AK60:AQ60"/>
    <mergeCell ref="B61:D61"/>
    <mergeCell ref="E61:G61"/>
    <mergeCell ref="H61:K61"/>
    <mergeCell ref="L61:P61"/>
    <mergeCell ref="Q61:Z61"/>
    <mergeCell ref="AA61:AJ61"/>
    <mergeCell ref="AK61:AQ61"/>
    <mergeCell ref="B58:D58"/>
    <mergeCell ref="E58:G58"/>
    <mergeCell ref="H58:K58"/>
    <mergeCell ref="L58:P58"/>
    <mergeCell ref="Q58:Z58"/>
    <mergeCell ref="AA58:AJ58"/>
    <mergeCell ref="AK58:AQ58"/>
    <mergeCell ref="B59:D59"/>
    <mergeCell ref="E59:G59"/>
    <mergeCell ref="H59:K59"/>
    <mergeCell ref="L59:P59"/>
    <mergeCell ref="Q59:Z59"/>
    <mergeCell ref="AA59:AJ59"/>
    <mergeCell ref="AK59:AQ59"/>
    <mergeCell ref="B56:D56"/>
    <mergeCell ref="E56:G56"/>
    <mergeCell ref="H56:K56"/>
    <mergeCell ref="L56:P56"/>
    <mergeCell ref="Q56:Z56"/>
    <mergeCell ref="AA56:AJ56"/>
    <mergeCell ref="AK56:AQ56"/>
    <mergeCell ref="B57:D57"/>
    <mergeCell ref="E57:G57"/>
    <mergeCell ref="H57:K57"/>
    <mergeCell ref="L57:P57"/>
    <mergeCell ref="Q57:Z57"/>
    <mergeCell ref="AA57:AJ57"/>
    <mergeCell ref="AK57:AQ57"/>
    <mergeCell ref="B54:D54"/>
    <mergeCell ref="E54:G54"/>
    <mergeCell ref="H54:K54"/>
    <mergeCell ref="L54:P54"/>
    <mergeCell ref="Q54:Z54"/>
    <mergeCell ref="AA54:AJ54"/>
    <mergeCell ref="AK54:AQ54"/>
    <mergeCell ref="B55:D55"/>
    <mergeCell ref="E55:G55"/>
    <mergeCell ref="H55:K55"/>
    <mergeCell ref="L55:P55"/>
    <mergeCell ref="Q55:Z55"/>
    <mergeCell ref="AA55:AJ55"/>
    <mergeCell ref="AK55:AQ55"/>
    <mergeCell ref="B52:D52"/>
    <mergeCell ref="E52:G52"/>
    <mergeCell ref="H52:K52"/>
    <mergeCell ref="L52:P52"/>
    <mergeCell ref="Q52:Z52"/>
    <mergeCell ref="AA52:AJ52"/>
    <mergeCell ref="AK52:AQ52"/>
    <mergeCell ref="B53:D53"/>
    <mergeCell ref="E53:G53"/>
    <mergeCell ref="H53:K53"/>
    <mergeCell ref="L53:P53"/>
    <mergeCell ref="Q53:Z53"/>
    <mergeCell ref="AA53:AJ53"/>
    <mergeCell ref="AK53:AQ53"/>
    <mergeCell ref="B50:D50"/>
    <mergeCell ref="E50:G50"/>
    <mergeCell ref="H50:K50"/>
    <mergeCell ref="L50:P50"/>
    <mergeCell ref="Q50:Z50"/>
    <mergeCell ref="AA50:AJ50"/>
    <mergeCell ref="AK50:AQ50"/>
    <mergeCell ref="B51:D51"/>
    <mergeCell ref="E51:G51"/>
    <mergeCell ref="H51:K51"/>
    <mergeCell ref="L51:P51"/>
    <mergeCell ref="Q51:Z51"/>
    <mergeCell ref="AA51:AJ51"/>
    <mergeCell ref="AK51:AQ51"/>
    <mergeCell ref="B48:D48"/>
    <mergeCell ref="E48:G48"/>
    <mergeCell ref="H48:K48"/>
    <mergeCell ref="L48:P48"/>
    <mergeCell ref="Q48:Z48"/>
    <mergeCell ref="AA48:AJ48"/>
    <mergeCell ref="AK48:AQ48"/>
    <mergeCell ref="B49:D49"/>
    <mergeCell ref="E49:G49"/>
    <mergeCell ref="H49:K49"/>
    <mergeCell ref="L49:P49"/>
    <mergeCell ref="Q49:Z49"/>
    <mergeCell ref="AA49:AJ49"/>
    <mergeCell ref="AK49:AQ49"/>
    <mergeCell ref="B46:D46"/>
    <mergeCell ref="E46:G46"/>
    <mergeCell ref="H46:K46"/>
    <mergeCell ref="L46:P46"/>
    <mergeCell ref="Q46:Z46"/>
    <mergeCell ref="AA46:AJ46"/>
    <mergeCell ref="AK46:AQ46"/>
    <mergeCell ref="B47:D47"/>
    <mergeCell ref="E47:G47"/>
    <mergeCell ref="H47:K47"/>
    <mergeCell ref="L47:P47"/>
    <mergeCell ref="Q47:Z47"/>
    <mergeCell ref="AA47:AJ47"/>
    <mergeCell ref="AK47:AQ47"/>
    <mergeCell ref="B44:D44"/>
    <mergeCell ref="E44:G44"/>
    <mergeCell ref="H44:K44"/>
    <mergeCell ref="L44:P44"/>
    <mergeCell ref="Q44:Z44"/>
    <mergeCell ref="AA44:AJ44"/>
    <mergeCell ref="AK44:AQ44"/>
    <mergeCell ref="B45:D45"/>
    <mergeCell ref="E45:G45"/>
    <mergeCell ref="H45:K45"/>
    <mergeCell ref="L45:P45"/>
    <mergeCell ref="Q45:Z45"/>
    <mergeCell ref="AA45:AJ45"/>
    <mergeCell ref="AK45:AQ45"/>
    <mergeCell ref="B42:D42"/>
    <mergeCell ref="E42:G42"/>
    <mergeCell ref="H42:K42"/>
    <mergeCell ref="L42:P42"/>
    <mergeCell ref="Q42:Z42"/>
    <mergeCell ref="AA42:AJ42"/>
    <mergeCell ref="AK42:AQ42"/>
    <mergeCell ref="B43:D43"/>
    <mergeCell ref="E43:G43"/>
    <mergeCell ref="H43:K43"/>
    <mergeCell ref="L43:P43"/>
    <mergeCell ref="Q43:Z43"/>
    <mergeCell ref="AA43:AJ43"/>
    <mergeCell ref="AK43:AQ43"/>
    <mergeCell ref="B40:D40"/>
    <mergeCell ref="E40:G40"/>
    <mergeCell ref="H40:K40"/>
    <mergeCell ref="L40:P40"/>
    <mergeCell ref="Q40:Z40"/>
    <mergeCell ref="AA40:AJ40"/>
    <mergeCell ref="AK40:AQ40"/>
    <mergeCell ref="B41:D41"/>
    <mergeCell ref="E41:G41"/>
    <mergeCell ref="H41:K41"/>
    <mergeCell ref="L41:P41"/>
    <mergeCell ref="Q41:Z41"/>
    <mergeCell ref="AA41:AJ41"/>
    <mergeCell ref="AK41:AQ41"/>
    <mergeCell ref="B38:D38"/>
    <mergeCell ref="E38:G38"/>
    <mergeCell ref="H38:K38"/>
    <mergeCell ref="L38:P38"/>
    <mergeCell ref="Q38:Z38"/>
    <mergeCell ref="AA38:AJ38"/>
    <mergeCell ref="AK38:AQ38"/>
    <mergeCell ref="B39:D39"/>
    <mergeCell ref="E39:G39"/>
    <mergeCell ref="H39:K39"/>
    <mergeCell ref="L39:P39"/>
    <mergeCell ref="Q39:Z39"/>
    <mergeCell ref="AA39:AJ39"/>
    <mergeCell ref="AK39:AQ39"/>
    <mergeCell ref="B36:D36"/>
    <mergeCell ref="E36:G36"/>
    <mergeCell ref="H36:K36"/>
    <mergeCell ref="L36:P36"/>
    <mergeCell ref="Q36:Z36"/>
    <mergeCell ref="AA36:AJ36"/>
    <mergeCell ref="AK36:AQ36"/>
    <mergeCell ref="B37:D37"/>
    <mergeCell ref="E37:G37"/>
    <mergeCell ref="H37:K37"/>
    <mergeCell ref="L37:P37"/>
    <mergeCell ref="Q37:Z37"/>
    <mergeCell ref="AA37:AJ37"/>
    <mergeCell ref="AK37:AQ37"/>
    <mergeCell ref="B34:D34"/>
    <mergeCell ref="E34:G34"/>
    <mergeCell ref="H34:K34"/>
    <mergeCell ref="L34:P34"/>
    <mergeCell ref="Q34:Z34"/>
    <mergeCell ref="AA34:AJ34"/>
    <mergeCell ref="AK34:AQ34"/>
    <mergeCell ref="B35:D35"/>
    <mergeCell ref="E35:G35"/>
    <mergeCell ref="H35:K35"/>
    <mergeCell ref="L35:P35"/>
    <mergeCell ref="Q35:Z35"/>
    <mergeCell ref="AA35:AJ35"/>
    <mergeCell ref="AK35:AQ35"/>
    <mergeCell ref="B32:D32"/>
    <mergeCell ref="E32:G32"/>
    <mergeCell ref="H32:K32"/>
    <mergeCell ref="L32:P32"/>
    <mergeCell ref="Q32:Z32"/>
    <mergeCell ref="AA32:AJ32"/>
    <mergeCell ref="AK32:AQ32"/>
    <mergeCell ref="B33:D33"/>
    <mergeCell ref="E33:G33"/>
    <mergeCell ref="H33:K33"/>
    <mergeCell ref="L33:P33"/>
    <mergeCell ref="Q33:Z33"/>
    <mergeCell ref="AA33:AJ33"/>
    <mergeCell ref="AK33:AQ33"/>
    <mergeCell ref="B30:D30"/>
    <mergeCell ref="E30:G30"/>
    <mergeCell ref="H30:K30"/>
    <mergeCell ref="L30:P30"/>
    <mergeCell ref="Q30:Z30"/>
    <mergeCell ref="AA30:AJ30"/>
    <mergeCell ref="AK30:AQ30"/>
    <mergeCell ref="B31:D31"/>
    <mergeCell ref="E31:G31"/>
    <mergeCell ref="H31:K31"/>
    <mergeCell ref="L31:P31"/>
    <mergeCell ref="Q31:Z31"/>
    <mergeCell ref="AA31:AJ31"/>
    <mergeCell ref="AK31:AQ31"/>
    <mergeCell ref="B28:D28"/>
    <mergeCell ref="E28:G28"/>
    <mergeCell ref="H28:K28"/>
    <mergeCell ref="L28:P28"/>
    <mergeCell ref="Q28:Z28"/>
    <mergeCell ref="AA28:AJ28"/>
    <mergeCell ref="AK28:AQ28"/>
    <mergeCell ref="B29:D29"/>
    <mergeCell ref="E29:G29"/>
    <mergeCell ref="H29:K29"/>
    <mergeCell ref="L29:P29"/>
    <mergeCell ref="Q29:Z29"/>
    <mergeCell ref="AA29:AJ29"/>
    <mergeCell ref="AK29:AQ29"/>
    <mergeCell ref="B26:D26"/>
    <mergeCell ref="E26:G26"/>
    <mergeCell ref="H26:K26"/>
    <mergeCell ref="L26:P26"/>
    <mergeCell ref="Q26:Z26"/>
    <mergeCell ref="AA26:AJ26"/>
    <mergeCell ref="AK26:AQ26"/>
    <mergeCell ref="B27:D27"/>
    <mergeCell ref="E27:G27"/>
    <mergeCell ref="H27:K27"/>
    <mergeCell ref="L27:P27"/>
    <mergeCell ref="Q27:Z27"/>
    <mergeCell ref="AA27:AJ27"/>
    <mergeCell ref="AK27:AQ27"/>
    <mergeCell ref="B24:D24"/>
    <mergeCell ref="E24:G24"/>
    <mergeCell ref="H24:K24"/>
    <mergeCell ref="L24:P24"/>
    <mergeCell ref="Q24:Z24"/>
    <mergeCell ref="AA24:AJ24"/>
    <mergeCell ref="AK24:AQ24"/>
    <mergeCell ref="B25:D25"/>
    <mergeCell ref="E25:G25"/>
    <mergeCell ref="H25:K25"/>
    <mergeCell ref="L25:P25"/>
    <mergeCell ref="Q25:Z25"/>
    <mergeCell ref="AA25:AJ25"/>
    <mergeCell ref="AK25:AQ25"/>
    <mergeCell ref="B22:D22"/>
    <mergeCell ref="E22:G22"/>
    <mergeCell ref="H22:K22"/>
    <mergeCell ref="L22:P22"/>
    <mergeCell ref="Q22:Z22"/>
    <mergeCell ref="AA22:AJ22"/>
    <mergeCell ref="AK22:AQ22"/>
    <mergeCell ref="B23:D23"/>
    <mergeCell ref="E23:G23"/>
    <mergeCell ref="H23:K23"/>
    <mergeCell ref="L23:P23"/>
    <mergeCell ref="Q23:Z23"/>
    <mergeCell ref="AA23:AJ23"/>
    <mergeCell ref="AK23:AQ23"/>
    <mergeCell ref="B1:D1"/>
    <mergeCell ref="E1:G1"/>
    <mergeCell ref="H1:K1"/>
    <mergeCell ref="L1:P1"/>
    <mergeCell ref="Q1:Z1"/>
    <mergeCell ref="B20:D20"/>
    <mergeCell ref="E20:G20"/>
    <mergeCell ref="H20:K20"/>
    <mergeCell ref="L20:P20"/>
    <mergeCell ref="Q20:Z20"/>
    <mergeCell ref="B16:D16"/>
    <mergeCell ref="E16:G16"/>
    <mergeCell ref="H16:K16"/>
    <mergeCell ref="L16:P16"/>
    <mergeCell ref="Q16:Z16"/>
    <mergeCell ref="B17:D17"/>
    <mergeCell ref="E17:G17"/>
    <mergeCell ref="H17:K17"/>
    <mergeCell ref="L17:P17"/>
    <mergeCell ref="Q17:Z17"/>
    <mergeCell ref="B14:D14"/>
    <mergeCell ref="E14:G14"/>
    <mergeCell ref="H14:K14"/>
    <mergeCell ref="L14:P14"/>
    <mergeCell ref="V9:Y9"/>
    <mergeCell ref="B11:D11"/>
    <mergeCell ref="E11:G11"/>
    <mergeCell ref="H11:K11"/>
    <mergeCell ref="L11:P11"/>
    <mergeCell ref="Q11:Z11"/>
    <mergeCell ref="B21:D21"/>
    <mergeCell ref="E21:G21"/>
    <mergeCell ref="H21:K21"/>
    <mergeCell ref="L21:P21"/>
    <mergeCell ref="Q21:Z21"/>
    <mergeCell ref="B18:D18"/>
    <mergeCell ref="E18:G18"/>
    <mergeCell ref="H18:K18"/>
    <mergeCell ref="L18:P18"/>
    <mergeCell ref="Q18:Z18"/>
    <mergeCell ref="B19:D19"/>
    <mergeCell ref="E19:G19"/>
    <mergeCell ref="H19:K19"/>
    <mergeCell ref="L19:P19"/>
    <mergeCell ref="Q19:Z19"/>
    <mergeCell ref="Q14:Z14"/>
    <mergeCell ref="B15:D15"/>
    <mergeCell ref="E15:G15"/>
    <mergeCell ref="H15:K15"/>
    <mergeCell ref="L15:P15"/>
    <mergeCell ref="Q15:Z15"/>
    <mergeCell ref="B12:D12"/>
    <mergeCell ref="E12:G12"/>
    <mergeCell ref="H12:K12"/>
    <mergeCell ref="L12:P12"/>
    <mergeCell ref="Q12:Z12"/>
    <mergeCell ref="B13:D13"/>
    <mergeCell ref="E13:G13"/>
    <mergeCell ref="H13:K13"/>
    <mergeCell ref="L13:P13"/>
    <mergeCell ref="Q13:Z13"/>
    <mergeCell ref="AA21:AJ21"/>
    <mergeCell ref="AK11:AQ11"/>
    <mergeCell ref="AK12:AQ12"/>
    <mergeCell ref="AK13:AQ13"/>
    <mergeCell ref="AK14:AQ14"/>
    <mergeCell ref="AK15:AQ15"/>
    <mergeCell ref="AK16:AQ16"/>
    <mergeCell ref="AK17:AQ17"/>
    <mergeCell ref="AK18:AQ18"/>
    <mergeCell ref="AK19:AQ19"/>
    <mergeCell ref="AK20:AQ20"/>
    <mergeCell ref="AK21:AQ21"/>
    <mergeCell ref="AA16:AJ16"/>
    <mergeCell ref="AA17:AJ17"/>
    <mergeCell ref="AA18:AJ18"/>
    <mergeCell ref="AA19:AJ19"/>
    <mergeCell ref="AA20:AJ20"/>
    <mergeCell ref="AA11:AJ11"/>
    <mergeCell ref="AA12:AJ12"/>
    <mergeCell ref="AA13:AJ13"/>
    <mergeCell ref="AA14:AJ14"/>
    <mergeCell ref="AA15:AJ15"/>
    <mergeCell ref="A10:AQ10"/>
    <mergeCell ref="AA6:AE6"/>
    <mergeCell ref="AA9:AE9"/>
    <mergeCell ref="AF9:AQ9"/>
    <mergeCell ref="AA1:AJ1"/>
    <mergeCell ref="AK1:AQ1"/>
    <mergeCell ref="A2:AQ2"/>
    <mergeCell ref="A3:AQ3"/>
    <mergeCell ref="A4:AQ4"/>
    <mergeCell ref="A5:M5"/>
    <mergeCell ref="N5:Y5"/>
    <mergeCell ref="AA5:AE5"/>
    <mergeCell ref="AF5:AQ5"/>
    <mergeCell ref="AF6:AQ6"/>
    <mergeCell ref="A7:M8"/>
    <mergeCell ref="N7:Y8"/>
    <mergeCell ref="AA7:AE7"/>
    <mergeCell ref="AF7:AQ7"/>
    <mergeCell ref="AA8:AE8"/>
    <mergeCell ref="AF8:AQ8"/>
    <mergeCell ref="A6:M6"/>
    <mergeCell ref="N6:Y6"/>
    <mergeCell ref="A9:M9"/>
    <mergeCell ref="N9:U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B464134-8E8C-4F2E-B389-2D01720173DE}">
          <x14:formula1>
            <xm:f>'Pick List '!$A$63:$A$66</xm:f>
          </x14:formula1>
          <xm:sqref>E12:G111</xm:sqref>
        </x14:dataValidation>
        <x14:dataValidation type="list" allowBlank="1" showInputMessage="1" showErrorMessage="1" xr:uid="{58A9E29F-2D4F-411D-BB3B-7C8A76703BB4}">
          <x14:formula1>
            <xm:f>'Pick List '!$B$94:$B$96</xm:f>
          </x14:formula1>
          <xm:sqref>H12:K111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4E52-2C74-4E6D-882C-2439B28A4DA0}">
  <sheetPr>
    <tabColor rgb="FF7030A0"/>
  </sheetPr>
  <dimension ref="A1:DZ215"/>
  <sheetViews>
    <sheetView zoomScale="90" zoomScaleNormal="90" workbookViewId="0">
      <selection activeCell="AB17" sqref="AB17:AC17"/>
    </sheetView>
  </sheetViews>
  <sheetFormatPr defaultRowHeight="15" x14ac:dyDescent="0.25"/>
  <cols>
    <col min="1" max="1" width="3.7109375" customWidth="1"/>
    <col min="2" max="2" width="3.85546875" customWidth="1"/>
    <col min="3" max="3" width="3.5703125" customWidth="1"/>
    <col min="4" max="152" width="2.7109375" customWidth="1"/>
  </cols>
  <sheetData>
    <row r="1" spans="1:100" ht="18.75" x14ac:dyDescent="0.25">
      <c r="A1" s="229" t="str">
        <f>'BASE GRANTEE INFO &amp; UPDATE'!A1</f>
        <v>WV Bureau For Behavioral Health-Quick Response Team 2025</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18"/>
      <c r="CF1" s="18"/>
      <c r="CG1" s="18"/>
      <c r="CH1" s="18"/>
      <c r="CI1" s="18"/>
      <c r="CJ1" s="18"/>
      <c r="CK1" s="18"/>
      <c r="CL1" s="18"/>
      <c r="CM1" s="18"/>
      <c r="CN1" s="18"/>
      <c r="CO1" s="18"/>
      <c r="CP1" s="18"/>
      <c r="CQ1" s="18"/>
      <c r="CR1" s="18"/>
      <c r="CS1" s="18"/>
      <c r="CT1" s="18"/>
      <c r="CU1" s="18"/>
      <c r="CV1" s="18"/>
    </row>
    <row r="2" spans="1:100" ht="16.5" customHeight="1" x14ac:dyDescent="0.25">
      <c r="A2" s="110" t="str">
        <f>'BASE GRANTEE INFO &amp; UPDATE'!A3</f>
        <v xml:space="preserve">Program reports need to be submitted electronically, via e-mail to BBHReporting@wv.gov  within 25 calendar days of the end of each month </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9"/>
      <c r="CF2" s="19"/>
      <c r="CG2" s="19"/>
      <c r="CH2" s="19"/>
      <c r="CI2" s="19"/>
      <c r="CJ2" s="19"/>
      <c r="CK2" s="19"/>
      <c r="CL2" s="19"/>
      <c r="CM2" s="19"/>
      <c r="CN2" s="19"/>
      <c r="CO2" s="19"/>
      <c r="CP2" s="19"/>
      <c r="CQ2" s="19"/>
      <c r="CR2" s="19"/>
      <c r="CS2" s="19"/>
      <c r="CT2" s="19"/>
      <c r="CU2" s="19"/>
      <c r="CV2" s="19"/>
    </row>
    <row r="3" spans="1:100" ht="15.75" customHeight="1" x14ac:dyDescent="0.25">
      <c r="A3" s="231" t="s">
        <v>343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row>
    <row r="4" spans="1:100" x14ac:dyDescent="0.25">
      <c r="A4" s="233" t="s">
        <v>0</v>
      </c>
      <c r="B4" s="234"/>
      <c r="C4" s="234"/>
      <c r="D4" s="234"/>
      <c r="E4" s="234"/>
      <c r="F4" s="234"/>
      <c r="G4" s="234"/>
      <c r="H4" s="234"/>
      <c r="I4" s="234"/>
      <c r="J4" s="234"/>
      <c r="K4" s="234"/>
      <c r="L4" s="234"/>
      <c r="M4" s="234"/>
      <c r="N4" s="234"/>
      <c r="O4" s="235"/>
      <c r="P4" s="394" t="str">
        <f>'BASE GRANTEE INFO &amp; UPDATE'!N5</f>
        <v>Quick Response Team</v>
      </c>
      <c r="Q4" s="395"/>
      <c r="R4" s="395"/>
      <c r="S4" s="395"/>
      <c r="T4" s="395"/>
      <c r="U4" s="395"/>
      <c r="V4" s="395"/>
      <c r="W4" s="395"/>
      <c r="X4" s="395"/>
      <c r="Y4" s="395"/>
      <c r="Z4" s="395"/>
      <c r="AA4" s="395"/>
      <c r="AB4" s="395"/>
      <c r="AC4" s="395"/>
      <c r="AD4" s="395"/>
      <c r="AE4" s="395"/>
      <c r="AF4" s="395"/>
      <c r="AG4" s="395"/>
      <c r="AH4" s="395"/>
      <c r="AI4" s="396"/>
      <c r="AJ4" s="1"/>
      <c r="AK4" s="400" t="s">
        <v>1</v>
      </c>
      <c r="AL4" s="401"/>
      <c r="AM4" s="401"/>
      <c r="AN4" s="401"/>
      <c r="AO4" s="401"/>
      <c r="AP4" s="401"/>
      <c r="AQ4" s="401"/>
      <c r="AR4" s="401"/>
      <c r="AS4" s="401"/>
      <c r="AT4" s="401"/>
      <c r="AU4" s="401"/>
      <c r="AV4" s="401"/>
      <c r="AW4" s="401"/>
      <c r="AX4" s="401"/>
      <c r="AY4" s="401"/>
      <c r="AZ4" s="401"/>
      <c r="BA4" s="401"/>
      <c r="BB4" s="401"/>
      <c r="BC4" s="401"/>
      <c r="BD4" s="401"/>
      <c r="BE4" s="401"/>
      <c r="BF4" s="401"/>
      <c r="BG4" s="402"/>
      <c r="BH4" s="394">
        <f>'BASE GRANTEE INFO &amp; UPDATE'!AF5</f>
        <v>0</v>
      </c>
      <c r="BI4" s="395"/>
      <c r="BJ4" s="395"/>
      <c r="BK4" s="395"/>
      <c r="BL4" s="395"/>
      <c r="BM4" s="395"/>
      <c r="BN4" s="395"/>
      <c r="BO4" s="395"/>
      <c r="BP4" s="395"/>
      <c r="BQ4" s="395"/>
      <c r="BR4" s="395"/>
      <c r="BS4" s="395"/>
      <c r="BT4" s="395"/>
      <c r="BU4" s="395"/>
      <c r="BV4" s="395"/>
      <c r="BW4" s="395"/>
      <c r="BX4" s="395"/>
      <c r="BY4" s="395"/>
      <c r="BZ4" s="395"/>
      <c r="CA4" s="395"/>
      <c r="CB4" s="395"/>
      <c r="CC4" s="395"/>
      <c r="CD4" s="396"/>
    </row>
    <row r="5" spans="1:100" x14ac:dyDescent="0.25">
      <c r="A5" s="233" t="s">
        <v>2</v>
      </c>
      <c r="B5" s="234"/>
      <c r="C5" s="234"/>
      <c r="D5" s="234"/>
      <c r="E5" s="234"/>
      <c r="F5" s="234"/>
      <c r="G5" s="234"/>
      <c r="H5" s="234"/>
      <c r="I5" s="234"/>
      <c r="J5" s="234"/>
      <c r="K5" s="234"/>
      <c r="L5" s="234"/>
      <c r="M5" s="234"/>
      <c r="N5" s="234"/>
      <c r="O5" s="235"/>
      <c r="P5" s="394">
        <f>'BASE GRANTEE INFO &amp; UPDATE'!N6</f>
        <v>0</v>
      </c>
      <c r="Q5" s="395"/>
      <c r="R5" s="395"/>
      <c r="S5" s="395"/>
      <c r="T5" s="395"/>
      <c r="U5" s="395"/>
      <c r="V5" s="395"/>
      <c r="W5" s="395"/>
      <c r="X5" s="395"/>
      <c r="Y5" s="395"/>
      <c r="Z5" s="395"/>
      <c r="AA5" s="395"/>
      <c r="AB5" s="395"/>
      <c r="AC5" s="395"/>
      <c r="AD5" s="395"/>
      <c r="AE5" s="395"/>
      <c r="AF5" s="395"/>
      <c r="AG5" s="395"/>
      <c r="AH5" s="395"/>
      <c r="AI5" s="396"/>
      <c r="AJ5" s="2"/>
      <c r="AK5" s="403" t="s">
        <v>3</v>
      </c>
      <c r="AL5" s="404"/>
      <c r="AM5" s="404"/>
      <c r="AN5" s="404"/>
      <c r="AO5" s="404"/>
      <c r="AP5" s="404"/>
      <c r="AQ5" s="404"/>
      <c r="AR5" s="404"/>
      <c r="AS5" s="404"/>
      <c r="AT5" s="404"/>
      <c r="AU5" s="404"/>
      <c r="AV5" s="404"/>
      <c r="AW5" s="404"/>
      <c r="AX5" s="404"/>
      <c r="AY5" s="404"/>
      <c r="AZ5" s="404"/>
      <c r="BA5" s="404"/>
      <c r="BB5" s="404"/>
      <c r="BC5" s="404"/>
      <c r="BD5" s="404"/>
      <c r="BE5" s="404"/>
      <c r="BF5" s="404"/>
      <c r="BG5" s="405"/>
      <c r="BH5" s="394">
        <f>'BASE GRANTEE INFO &amp; UPDATE'!AF6</f>
        <v>0</v>
      </c>
      <c r="BI5" s="395"/>
      <c r="BJ5" s="395"/>
      <c r="BK5" s="395"/>
      <c r="BL5" s="395"/>
      <c r="BM5" s="395"/>
      <c r="BN5" s="395"/>
      <c r="BO5" s="395"/>
      <c r="BP5" s="395"/>
      <c r="BQ5" s="395"/>
      <c r="BR5" s="395"/>
      <c r="BS5" s="395"/>
      <c r="BT5" s="395"/>
      <c r="BU5" s="395"/>
      <c r="BV5" s="395"/>
      <c r="BW5" s="395"/>
      <c r="BX5" s="395"/>
      <c r="BY5" s="395"/>
      <c r="BZ5" s="395"/>
      <c r="CA5" s="395"/>
      <c r="CB5" s="395"/>
      <c r="CC5" s="395"/>
      <c r="CD5" s="396"/>
    </row>
    <row r="6" spans="1:100" ht="15" customHeight="1" x14ac:dyDescent="0.25">
      <c r="A6" s="237" t="s">
        <v>4</v>
      </c>
      <c r="B6" s="238"/>
      <c r="C6" s="238"/>
      <c r="D6" s="238"/>
      <c r="E6" s="238"/>
      <c r="F6" s="238"/>
      <c r="G6" s="238"/>
      <c r="H6" s="238"/>
      <c r="I6" s="238"/>
      <c r="J6" s="238"/>
      <c r="K6" s="238"/>
      <c r="L6" s="238"/>
      <c r="M6" s="238"/>
      <c r="N6" s="238"/>
      <c r="O6" s="239"/>
      <c r="P6" s="397">
        <f>'BASE GRANTEE INFO &amp; UPDATE'!N7</f>
        <v>0</v>
      </c>
      <c r="Q6" s="398"/>
      <c r="R6" s="398"/>
      <c r="S6" s="398"/>
      <c r="T6" s="398"/>
      <c r="U6" s="398"/>
      <c r="V6" s="398"/>
      <c r="W6" s="398"/>
      <c r="X6" s="398"/>
      <c r="Y6" s="398"/>
      <c r="Z6" s="398"/>
      <c r="AA6" s="398"/>
      <c r="AB6" s="398"/>
      <c r="AC6" s="398"/>
      <c r="AD6" s="398"/>
      <c r="AE6" s="398"/>
      <c r="AF6" s="398"/>
      <c r="AG6" s="398"/>
      <c r="AH6" s="398"/>
      <c r="AI6" s="399"/>
      <c r="AJ6" s="2"/>
      <c r="AK6" s="400" t="s">
        <v>277</v>
      </c>
      <c r="AL6" s="401"/>
      <c r="AM6" s="401"/>
      <c r="AN6" s="401"/>
      <c r="AO6" s="401"/>
      <c r="AP6" s="401"/>
      <c r="AQ6" s="401"/>
      <c r="AR6" s="401"/>
      <c r="AS6" s="401"/>
      <c r="AT6" s="401"/>
      <c r="AU6" s="401"/>
      <c r="AV6" s="401"/>
      <c r="AW6" s="401"/>
      <c r="AX6" s="401"/>
      <c r="AY6" s="401"/>
      <c r="AZ6" s="401"/>
      <c r="BA6" s="401"/>
      <c r="BB6" s="401"/>
      <c r="BC6" s="401"/>
      <c r="BD6" s="401"/>
      <c r="BE6" s="401"/>
      <c r="BF6" s="401"/>
      <c r="BG6" s="402"/>
      <c r="BH6" s="394">
        <f>'BASE GRANTEE INFO &amp; UPDATE'!AF7</f>
        <v>0</v>
      </c>
      <c r="BI6" s="395"/>
      <c r="BJ6" s="395"/>
      <c r="BK6" s="395"/>
      <c r="BL6" s="395"/>
      <c r="BM6" s="395"/>
      <c r="BN6" s="395"/>
      <c r="BO6" s="395"/>
      <c r="BP6" s="395"/>
      <c r="BQ6" s="395"/>
      <c r="BR6" s="395"/>
      <c r="BS6" s="395"/>
      <c r="BT6" s="395"/>
      <c r="BU6" s="395"/>
      <c r="BV6" s="395"/>
      <c r="BW6" s="395"/>
      <c r="BX6" s="395"/>
      <c r="BY6" s="395"/>
      <c r="BZ6" s="395"/>
      <c r="CA6" s="395"/>
      <c r="CB6" s="395"/>
      <c r="CC6" s="395"/>
      <c r="CD6" s="396"/>
    </row>
    <row r="7" spans="1:100" x14ac:dyDescent="0.25">
      <c r="A7" s="240"/>
      <c r="B7" s="241"/>
      <c r="C7" s="241"/>
      <c r="D7" s="241"/>
      <c r="E7" s="241"/>
      <c r="F7" s="241"/>
      <c r="G7" s="241"/>
      <c r="H7" s="241"/>
      <c r="I7" s="241"/>
      <c r="J7" s="241"/>
      <c r="K7" s="241"/>
      <c r="L7" s="241"/>
      <c r="M7" s="241"/>
      <c r="N7" s="241"/>
      <c r="O7" s="242"/>
      <c r="P7" s="397"/>
      <c r="Q7" s="398"/>
      <c r="R7" s="398"/>
      <c r="S7" s="398"/>
      <c r="T7" s="398"/>
      <c r="U7" s="398"/>
      <c r="V7" s="398"/>
      <c r="W7" s="398"/>
      <c r="X7" s="398"/>
      <c r="Y7" s="398"/>
      <c r="Z7" s="398"/>
      <c r="AA7" s="398"/>
      <c r="AB7" s="398"/>
      <c r="AC7" s="398"/>
      <c r="AD7" s="398"/>
      <c r="AE7" s="398"/>
      <c r="AF7" s="398"/>
      <c r="AG7" s="398"/>
      <c r="AH7" s="398"/>
      <c r="AI7" s="399"/>
      <c r="AJ7" s="2"/>
      <c r="AK7" s="400" t="s">
        <v>5</v>
      </c>
      <c r="AL7" s="401"/>
      <c r="AM7" s="401"/>
      <c r="AN7" s="401"/>
      <c r="AO7" s="401"/>
      <c r="AP7" s="401"/>
      <c r="AQ7" s="401"/>
      <c r="AR7" s="401"/>
      <c r="AS7" s="401"/>
      <c r="AT7" s="401"/>
      <c r="AU7" s="401"/>
      <c r="AV7" s="401"/>
      <c r="AW7" s="401"/>
      <c r="AX7" s="401"/>
      <c r="AY7" s="401"/>
      <c r="AZ7" s="401"/>
      <c r="BA7" s="401"/>
      <c r="BB7" s="401"/>
      <c r="BC7" s="401"/>
      <c r="BD7" s="401"/>
      <c r="BE7" s="401"/>
      <c r="BF7" s="401"/>
      <c r="BG7" s="402"/>
      <c r="BH7" s="394">
        <f>'BASE GRANTEE INFO &amp; UPDATE'!AF8</f>
        <v>0</v>
      </c>
      <c r="BI7" s="395"/>
      <c r="BJ7" s="395"/>
      <c r="BK7" s="395"/>
      <c r="BL7" s="395"/>
      <c r="BM7" s="395"/>
      <c r="BN7" s="395"/>
      <c r="BO7" s="395"/>
      <c r="BP7" s="395"/>
      <c r="BQ7" s="395"/>
      <c r="BR7" s="395"/>
      <c r="BS7" s="395"/>
      <c r="BT7" s="395"/>
      <c r="BU7" s="395"/>
      <c r="BV7" s="395"/>
      <c r="BW7" s="395"/>
      <c r="BX7" s="395"/>
      <c r="BY7" s="395"/>
      <c r="BZ7" s="395"/>
      <c r="CA7" s="395"/>
      <c r="CB7" s="395"/>
      <c r="CC7" s="395"/>
      <c r="CD7" s="396"/>
    </row>
    <row r="8" spans="1:100" ht="15.75" customHeight="1" x14ac:dyDescent="0.25">
      <c r="A8" s="245" t="s">
        <v>6</v>
      </c>
      <c r="B8" s="246"/>
      <c r="C8" s="246"/>
      <c r="D8" s="246"/>
      <c r="E8" s="246"/>
      <c r="F8" s="246"/>
      <c r="G8" s="246"/>
      <c r="H8" s="246"/>
      <c r="I8" s="246"/>
      <c r="J8" s="246"/>
      <c r="K8" s="246"/>
      <c r="L8" s="246"/>
      <c r="M8" s="246"/>
      <c r="N8" s="246"/>
      <c r="O8" s="247"/>
      <c r="P8" s="419" t="str">
        <f>'BASE GRANTEE INFO &amp; UPDATE'!N9</f>
        <v>September 1 - 30</v>
      </c>
      <c r="Q8" s="419"/>
      <c r="R8" s="419"/>
      <c r="S8" s="419"/>
      <c r="T8" s="419"/>
      <c r="U8" s="419"/>
      <c r="V8" s="419"/>
      <c r="W8" s="419"/>
      <c r="X8" s="419"/>
      <c r="Y8" s="419"/>
      <c r="Z8" s="419">
        <f>'BASE GRANTEE INFO &amp; UPDATE'!V9</f>
        <v>2024</v>
      </c>
      <c r="AA8" s="419"/>
      <c r="AB8" s="419"/>
      <c r="AC8" s="419"/>
      <c r="AD8" s="419"/>
      <c r="AE8" s="419"/>
      <c r="AF8" s="419"/>
      <c r="AG8" s="419"/>
      <c r="AH8" s="419"/>
      <c r="AI8" s="419"/>
      <c r="AJ8" s="2"/>
      <c r="AK8" s="406" t="s">
        <v>8</v>
      </c>
      <c r="AL8" s="407"/>
      <c r="AM8" s="407"/>
      <c r="AN8" s="407"/>
      <c r="AO8" s="407"/>
      <c r="AP8" s="407"/>
      <c r="AQ8" s="407"/>
      <c r="AR8" s="407"/>
      <c r="AS8" s="407"/>
      <c r="AT8" s="407"/>
      <c r="AU8" s="407"/>
      <c r="AV8" s="407"/>
      <c r="AW8" s="407"/>
      <c r="AX8" s="407"/>
      <c r="AY8" s="407"/>
      <c r="AZ8" s="407"/>
      <c r="BA8" s="407"/>
      <c r="BB8" s="407"/>
      <c r="BC8" s="407"/>
      <c r="BD8" s="407"/>
      <c r="BE8" s="407"/>
      <c r="BF8" s="407"/>
      <c r="BG8" s="408"/>
      <c r="BH8" s="394">
        <f>'BASE GRANTEE INFO &amp; UPDATE'!AF9</f>
        <v>0</v>
      </c>
      <c r="BI8" s="395"/>
      <c r="BJ8" s="395"/>
      <c r="BK8" s="395"/>
      <c r="BL8" s="395"/>
      <c r="BM8" s="395"/>
      <c r="BN8" s="395"/>
      <c r="BO8" s="395"/>
      <c r="BP8" s="395"/>
      <c r="BQ8" s="395"/>
      <c r="BR8" s="395"/>
      <c r="BS8" s="395"/>
      <c r="BT8" s="395"/>
      <c r="BU8" s="395"/>
      <c r="BV8" s="395"/>
      <c r="BW8" s="395"/>
      <c r="BX8" s="395"/>
      <c r="BY8" s="395"/>
      <c r="BZ8" s="395"/>
      <c r="CA8" s="395"/>
      <c r="CB8" s="395"/>
      <c r="CC8" s="395"/>
      <c r="CD8" s="396"/>
    </row>
    <row r="9" spans="1:100" x14ac:dyDescent="0.25">
      <c r="A9" s="219" t="s">
        <v>344</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row>
    <row r="11" spans="1:100" ht="30" customHeight="1" x14ac:dyDescent="0.4">
      <c r="A11" s="514" t="s">
        <v>320</v>
      </c>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4"/>
      <c r="AY11" s="514"/>
      <c r="AZ11" s="514"/>
      <c r="BA11" s="514"/>
      <c r="BB11" s="514"/>
      <c r="BC11" s="514"/>
      <c r="BD11" s="514"/>
      <c r="BE11" s="514"/>
      <c r="BF11" s="514"/>
      <c r="BG11" s="514"/>
      <c r="BH11" s="514"/>
      <c r="BI11" s="514"/>
      <c r="BJ11" s="514"/>
      <c r="BK11" s="514"/>
      <c r="BL11" s="514"/>
      <c r="BM11" s="514"/>
      <c r="BN11" s="514"/>
      <c r="BO11" s="514"/>
      <c r="BP11" s="514"/>
      <c r="BQ11" s="514"/>
      <c r="BR11" s="514"/>
      <c r="BS11" s="514"/>
      <c r="BT11" s="514"/>
      <c r="BU11" s="514"/>
      <c r="BV11" s="514"/>
      <c r="BW11" s="514"/>
      <c r="BX11" s="514"/>
      <c r="BY11" s="514"/>
      <c r="BZ11" s="514"/>
      <c r="CA11" s="514"/>
      <c r="CB11" s="514"/>
      <c r="CC11" s="514"/>
      <c r="CD11" s="514"/>
      <c r="CE11" s="514"/>
      <c r="CF11" s="514"/>
      <c r="CG11" s="514"/>
      <c r="CH11" s="514"/>
      <c r="CI11" s="514"/>
      <c r="CJ11" s="514"/>
      <c r="CK11" s="514"/>
      <c r="CL11" s="514"/>
      <c r="CM11" s="514"/>
      <c r="CN11" s="514"/>
      <c r="CO11" s="514"/>
      <c r="CP11" s="514"/>
      <c r="CQ11" s="514"/>
      <c r="CR11" s="514"/>
      <c r="CS11" s="514"/>
      <c r="CT11" s="514"/>
      <c r="CU11" s="514"/>
      <c r="CV11" s="514"/>
    </row>
    <row r="13" spans="1:100" ht="30" customHeight="1" x14ac:dyDescent="0.25">
      <c r="A13" s="439" t="s">
        <v>121</v>
      </c>
      <c r="B13" s="440"/>
      <c r="C13" s="441"/>
      <c r="D13" s="424" t="s">
        <v>25</v>
      </c>
      <c r="E13" s="424"/>
      <c r="F13" s="424"/>
      <c r="G13" s="424"/>
      <c r="H13" s="424"/>
      <c r="I13" s="424"/>
      <c r="J13" s="424"/>
      <c r="K13" s="424"/>
      <c r="L13" s="424" t="s">
        <v>135</v>
      </c>
      <c r="M13" s="424"/>
      <c r="N13" s="424"/>
      <c r="O13" s="424"/>
      <c r="P13" s="424"/>
      <c r="Q13" s="424"/>
      <c r="R13" s="424"/>
      <c r="S13" s="424"/>
      <c r="T13" s="424" t="s">
        <v>27</v>
      </c>
      <c r="U13" s="424"/>
      <c r="V13" s="424"/>
      <c r="W13" s="424"/>
      <c r="X13" s="424"/>
      <c r="Y13" s="424"/>
      <c r="Z13" s="424"/>
      <c r="AA13" s="424"/>
      <c r="AB13" s="424" t="s">
        <v>24</v>
      </c>
      <c r="AC13" s="424"/>
      <c r="AD13" s="424"/>
      <c r="AE13" s="424"/>
      <c r="AF13" s="424"/>
      <c r="AG13" s="424"/>
      <c r="AH13" s="424"/>
      <c r="AI13" s="424"/>
      <c r="AJ13" s="424" t="s">
        <v>281</v>
      </c>
      <c r="AK13" s="424"/>
      <c r="AL13" s="424"/>
      <c r="AM13" s="424"/>
      <c r="AN13" s="424"/>
      <c r="AO13" s="424"/>
      <c r="AP13" s="424"/>
      <c r="AQ13" s="424"/>
      <c r="AR13" s="424" t="s">
        <v>282</v>
      </c>
      <c r="AS13" s="424"/>
      <c r="AT13" s="424"/>
      <c r="AU13" s="424"/>
      <c r="AV13" s="424"/>
      <c r="AW13" s="424"/>
      <c r="AX13" s="424"/>
      <c r="AY13" s="424"/>
      <c r="AZ13" s="424" t="s">
        <v>122</v>
      </c>
      <c r="BA13" s="424"/>
      <c r="BB13" s="424"/>
      <c r="BC13" s="424"/>
      <c r="BD13" s="424"/>
      <c r="BE13" s="424"/>
      <c r="BF13" s="424"/>
      <c r="BG13" s="424"/>
      <c r="BH13" s="430" t="s">
        <v>123</v>
      </c>
      <c r="BI13" s="430"/>
      <c r="BJ13" s="430"/>
      <c r="BK13" s="430"/>
      <c r="BL13" s="430"/>
      <c r="BM13" s="430"/>
      <c r="BN13" s="430"/>
      <c r="BO13" s="430"/>
      <c r="BP13" s="2"/>
      <c r="BQ13" s="429" t="s">
        <v>29</v>
      </c>
      <c r="BR13" s="429"/>
      <c r="BS13" s="429"/>
      <c r="BT13" s="429"/>
      <c r="BU13" s="429"/>
      <c r="BV13" s="429"/>
      <c r="BW13" s="429"/>
      <c r="BX13" s="429"/>
      <c r="BY13" s="429" t="s">
        <v>124</v>
      </c>
      <c r="BZ13" s="429"/>
      <c r="CA13" s="429"/>
      <c r="CB13" s="429"/>
      <c r="CC13" s="429"/>
      <c r="CD13" s="429"/>
      <c r="CE13" s="429"/>
      <c r="CF13" s="429"/>
      <c r="CG13" s="429" t="s">
        <v>122</v>
      </c>
      <c r="CH13" s="429"/>
      <c r="CI13" s="429"/>
      <c r="CJ13" s="429"/>
      <c r="CK13" s="429"/>
      <c r="CL13" s="429"/>
      <c r="CM13" s="429"/>
      <c r="CN13" s="429"/>
      <c r="CO13" s="446" t="s">
        <v>123</v>
      </c>
      <c r="CP13" s="446"/>
      <c r="CQ13" s="446"/>
      <c r="CR13" s="446"/>
      <c r="CS13" s="446"/>
      <c r="CT13" s="446"/>
      <c r="CU13" s="446"/>
      <c r="CV13" s="446"/>
    </row>
    <row r="14" spans="1:100" ht="15" customHeight="1" x14ac:dyDescent="0.25">
      <c r="A14" s="442"/>
      <c r="B14" s="443"/>
      <c r="C14" s="444"/>
      <c r="D14" s="415" t="s">
        <v>31</v>
      </c>
      <c r="E14" s="415"/>
      <c r="F14" s="416" t="s">
        <v>32</v>
      </c>
      <c r="G14" s="416"/>
      <c r="H14" s="415"/>
      <c r="I14" s="415"/>
      <c r="J14" s="416"/>
      <c r="K14" s="416"/>
      <c r="L14" s="415" t="s">
        <v>31</v>
      </c>
      <c r="M14" s="415"/>
      <c r="N14" s="416" t="s">
        <v>32</v>
      </c>
      <c r="O14" s="416"/>
      <c r="P14" s="415"/>
      <c r="Q14" s="415"/>
      <c r="R14" s="416"/>
      <c r="S14" s="416"/>
      <c r="T14" s="415" t="s">
        <v>31</v>
      </c>
      <c r="U14" s="415"/>
      <c r="V14" s="416" t="s">
        <v>32</v>
      </c>
      <c r="W14" s="416"/>
      <c r="X14" s="415"/>
      <c r="Y14" s="415"/>
      <c r="Z14" s="416"/>
      <c r="AA14" s="416"/>
      <c r="AB14" s="415" t="s">
        <v>31</v>
      </c>
      <c r="AC14" s="415"/>
      <c r="AD14" s="416" t="s">
        <v>32</v>
      </c>
      <c r="AE14" s="416"/>
      <c r="AF14" s="415"/>
      <c r="AG14" s="415"/>
      <c r="AH14" s="416"/>
      <c r="AI14" s="416"/>
      <c r="AJ14" s="415" t="s">
        <v>31</v>
      </c>
      <c r="AK14" s="415"/>
      <c r="AL14" s="416" t="s">
        <v>32</v>
      </c>
      <c r="AM14" s="416"/>
      <c r="AN14" s="415"/>
      <c r="AO14" s="415"/>
      <c r="AP14" s="416"/>
      <c r="AQ14" s="416"/>
      <c r="AR14" s="415" t="s">
        <v>31</v>
      </c>
      <c r="AS14" s="415"/>
      <c r="AT14" s="416" t="s">
        <v>32</v>
      </c>
      <c r="AU14" s="416"/>
      <c r="AV14" s="415"/>
      <c r="AW14" s="415"/>
      <c r="AX14" s="416"/>
      <c r="AY14" s="416"/>
      <c r="AZ14" s="415" t="s">
        <v>31</v>
      </c>
      <c r="BA14" s="415"/>
      <c r="BB14" s="416" t="s">
        <v>32</v>
      </c>
      <c r="BC14" s="416"/>
      <c r="BD14" s="415"/>
      <c r="BE14" s="415"/>
      <c r="BF14" s="416"/>
      <c r="BG14" s="416"/>
      <c r="BH14" s="425" t="s">
        <v>31</v>
      </c>
      <c r="BI14" s="425"/>
      <c r="BJ14" s="425" t="s">
        <v>32</v>
      </c>
      <c r="BK14" s="425"/>
      <c r="BL14" s="425"/>
      <c r="BM14" s="425"/>
      <c r="BN14" s="425"/>
      <c r="BO14" s="425"/>
      <c r="BP14" s="9"/>
      <c r="BQ14" s="413" t="s">
        <v>31</v>
      </c>
      <c r="BR14" s="413"/>
      <c r="BS14" s="414" t="s">
        <v>32</v>
      </c>
      <c r="BT14" s="414"/>
      <c r="BU14" s="413"/>
      <c r="BV14" s="413"/>
      <c r="BW14" s="414"/>
      <c r="BX14" s="414"/>
      <c r="BY14" s="413" t="s">
        <v>31</v>
      </c>
      <c r="BZ14" s="413"/>
      <c r="CA14" s="414" t="s">
        <v>32</v>
      </c>
      <c r="CB14" s="414"/>
      <c r="CC14" s="413"/>
      <c r="CD14" s="413"/>
      <c r="CE14" s="414"/>
      <c r="CF14" s="414"/>
      <c r="CG14" s="413" t="s">
        <v>31</v>
      </c>
      <c r="CH14" s="413"/>
      <c r="CI14" s="414" t="s">
        <v>32</v>
      </c>
      <c r="CJ14" s="414"/>
      <c r="CK14" s="413"/>
      <c r="CL14" s="413"/>
      <c r="CM14" s="414"/>
      <c r="CN14" s="414"/>
      <c r="CO14" s="445" t="s">
        <v>31</v>
      </c>
      <c r="CP14" s="445"/>
      <c r="CQ14" s="445" t="s">
        <v>32</v>
      </c>
      <c r="CR14" s="445"/>
      <c r="CS14" s="445"/>
      <c r="CT14" s="445"/>
      <c r="CU14" s="445"/>
      <c r="CV14" s="445"/>
    </row>
    <row r="15" spans="1:100" x14ac:dyDescent="0.25">
      <c r="A15" s="433" t="s">
        <v>125</v>
      </c>
      <c r="B15" s="434"/>
      <c r="C15" s="435"/>
      <c r="D15" s="317" t="e">
        <f>COUNTIFS(#REF!,"&gt;=0",#REF!, "&lt;=12",#REF!,"Male",#REF!,"White")</f>
        <v>#REF!</v>
      </c>
      <c r="E15" s="317"/>
      <c r="F15" s="411" t="e">
        <f>COUNTIFS(#REF!,"&gt;=0",#REF!, "&lt;=12",#REF!,"Female",#REF!,"White",#REF!,"NO")</f>
        <v>#REF!</v>
      </c>
      <c r="G15" s="411"/>
      <c r="H15" s="412"/>
      <c r="I15" s="412"/>
      <c r="J15" s="411"/>
      <c r="K15" s="411"/>
      <c r="L15" s="317" t="e">
        <f>COUNTIFS(#REF!,"&gt;=0",#REF!, "&lt;=12",#REF!,"Male",#REF!,"African American /Black")</f>
        <v>#REF!</v>
      </c>
      <c r="M15" s="317"/>
      <c r="N15" s="411" t="e">
        <f>COUNTIFS(#REF!,"&gt;=0",#REF!, "&lt;=12",#REF!,"Female",#REF!,"African American /Black",#REF!,"NO")</f>
        <v>#REF!</v>
      </c>
      <c r="O15" s="411"/>
      <c r="P15" s="412"/>
      <c r="Q15" s="412"/>
      <c r="R15" s="411"/>
      <c r="S15" s="411"/>
      <c r="T15" s="412" t="e">
        <f>COUNTIFS(#REF!,"&gt;=0",#REF!, "&lt;=12",#REF!,"Male",#REF!,"Native Hawaiian / Other Pacific Islander")</f>
        <v>#REF!</v>
      </c>
      <c r="U15" s="412"/>
      <c r="V15" s="411" t="e">
        <f>COUNTIFS(#REF!,"&gt;=0",#REF!, "&lt;=12",#REF!,"Female",#REF!,"Native Hawaiian / Other Pacific Islander",#REF!,"NO")</f>
        <v>#REF!</v>
      </c>
      <c r="W15" s="411"/>
      <c r="X15" s="412"/>
      <c r="Y15" s="412"/>
      <c r="Z15" s="411"/>
      <c r="AA15" s="411"/>
      <c r="AB15" s="412" t="e">
        <f>COUNTIFS(#REF!,"&gt;=0",#REF!, "&lt;=12",#REF!,"Male",#REF!,"Asian ")</f>
        <v>#REF!</v>
      </c>
      <c r="AC15" s="412"/>
      <c r="AD15" s="411" t="e">
        <f>COUNTIFS(#REF!,"&gt;=0",#REF!, "&lt;=12",#REF!,"Female",#REF!,"Asian ",#REF!,"NO")</f>
        <v>#REF!</v>
      </c>
      <c r="AE15" s="411"/>
      <c r="AF15" s="412"/>
      <c r="AG15" s="412"/>
      <c r="AH15" s="411"/>
      <c r="AI15" s="411"/>
      <c r="AJ15" s="412" t="e">
        <f>COUNTIFS(#REF!,"&gt;=0",#REF!, "&lt;=12",#REF!,"Male",#REF!,"American Indian / Alaska Native")</f>
        <v>#REF!</v>
      </c>
      <c r="AK15" s="412"/>
      <c r="AL15" s="411" t="e">
        <f>COUNTIFS(#REF!,"&gt;=0",#REF!, "&lt;=12",#REF!,"Female",#REF!,"American Indian / Alaska Native",#REF!,"NO")</f>
        <v>#REF!</v>
      </c>
      <c r="AM15" s="411"/>
      <c r="AN15" s="412"/>
      <c r="AO15" s="412"/>
      <c r="AP15" s="411"/>
      <c r="AQ15" s="411"/>
      <c r="AR15" s="412" t="e">
        <f>COUNTIFS(#REF!,"&gt;=0",#REF!, "&lt;=12",#REF!,"Male",#REF!,"More than one race reported")</f>
        <v>#REF!</v>
      </c>
      <c r="AS15" s="412"/>
      <c r="AT15" s="411" t="e">
        <f>COUNTIFS(#REF!,"&gt;=0",#REF!, "&lt;=12",#REF!,"Female",#REF!,"More than one race reported",#REF!,"NO")</f>
        <v>#REF!</v>
      </c>
      <c r="AU15" s="411"/>
      <c r="AV15" s="412"/>
      <c r="AW15" s="412"/>
      <c r="AX15" s="411"/>
      <c r="AY15" s="411"/>
      <c r="AZ15" s="412" t="e">
        <f>COUNTIFS(#REF!,"&gt;=0",#REF!, "&lt;=12",#REF!,"Male",#REF!,"Unknown")</f>
        <v>#REF!</v>
      </c>
      <c r="BA15" s="412"/>
      <c r="BB15" s="421" t="e">
        <f>COUNTIFS(#REF!,"&gt;=0",#REF!, "&lt;=12",#REF!,"Female",#REF!,"Unknown",#REF!,"NO")</f>
        <v>#REF!</v>
      </c>
      <c r="BC15" s="421"/>
      <c r="BD15" s="412"/>
      <c r="BE15" s="412"/>
      <c r="BF15" s="411"/>
      <c r="BG15" s="411"/>
      <c r="BH15" s="423" t="e">
        <f t="shared" ref="BH15:BH24" si="0">D15+L15+T15+AB15+AJ15+AR15+AZ15</f>
        <v>#REF!</v>
      </c>
      <c r="BI15" s="423"/>
      <c r="BJ15" s="422" t="e">
        <f t="shared" ref="BJ15:BJ24" si="1">F15+N15+V15+AD15+AL15+AT15+BB15</f>
        <v>#REF!</v>
      </c>
      <c r="BK15" s="422"/>
      <c r="BL15" s="420"/>
      <c r="BM15" s="420"/>
      <c r="BN15" s="420"/>
      <c r="BO15" s="420"/>
      <c r="BP15" s="2"/>
      <c r="BQ15" s="417" t="e">
        <f>COUNTIFS(#REF!,"&gt;=0",#REF!, "&lt;=12",#REF!,"Male",#REF!,"Not Hispanic or Latino")</f>
        <v>#REF!</v>
      </c>
      <c r="BR15" s="417"/>
      <c r="BS15" s="418" t="e">
        <f>COUNTIFS(#REF!,"&gt;=0",#REF!, "&lt;=12",#REF!,"Female",#REF!,"Not Hispanic or Latino",#REF!,"NO")</f>
        <v>#REF!</v>
      </c>
      <c r="BT15" s="418"/>
      <c r="BU15" s="417"/>
      <c r="BV15" s="417"/>
      <c r="BW15" s="418"/>
      <c r="BX15" s="418"/>
      <c r="BY15" s="417" t="e">
        <f>COUNTIFS(#REF!,"&gt;=0",#REF!, "&lt;=12",#REF!,"Male",#REF!,"Hispanic-Latino ")</f>
        <v>#REF!</v>
      </c>
      <c r="BZ15" s="417"/>
      <c r="CA15" s="418" t="e">
        <f>COUNTIFS(#REF!,"&gt;=0",#REF!, "&lt;=12",#REF!,"Female",#REF!,"Hispanic-Latino ",#REF!,"NO")</f>
        <v>#REF!</v>
      </c>
      <c r="CB15" s="418"/>
      <c r="CC15" s="417"/>
      <c r="CD15" s="417"/>
      <c r="CE15" s="418"/>
      <c r="CF15" s="418"/>
      <c r="CG15" s="417" t="e">
        <f>COUNTIFS(#REF!,"&gt;=0",#REF!, "&lt;=12",#REF!,"Male",#REF!,"Unknown")</f>
        <v>#REF!</v>
      </c>
      <c r="CH15" s="417"/>
      <c r="CI15" s="418" t="e">
        <f>COUNTIFS(#REF!,"&gt;=0",#REF!, "&lt;=12",#REF!,"Female",#REF!,"Unknown",#REF!,"NO")</f>
        <v>#REF!</v>
      </c>
      <c r="CJ15" s="418"/>
      <c r="CK15" s="417"/>
      <c r="CL15" s="417"/>
      <c r="CM15" s="418"/>
      <c r="CN15" s="418"/>
      <c r="CO15" s="431" t="e">
        <f t="shared" ref="CO15:CO24" si="2">BQ15+BY15+CG15</f>
        <v>#REF!</v>
      </c>
      <c r="CP15" s="431"/>
      <c r="CQ15" s="432" t="e">
        <f t="shared" ref="CQ15:CQ24" si="3">BS15+CA15+CI15</f>
        <v>#REF!</v>
      </c>
      <c r="CR15" s="432"/>
      <c r="CS15" s="431"/>
      <c r="CT15" s="431"/>
      <c r="CU15" s="431"/>
      <c r="CV15" s="431"/>
    </row>
    <row r="16" spans="1:100" ht="15" customHeight="1" x14ac:dyDescent="0.25">
      <c r="A16" s="433" t="s">
        <v>126</v>
      </c>
      <c r="B16" s="434"/>
      <c r="C16" s="435"/>
      <c r="D16" s="317" t="e">
        <f>COUNTIFS(#REF!,"&gt;=13",#REF!, "&lt;=17",#REF!,"Male",#REF!,"White")</f>
        <v>#REF!</v>
      </c>
      <c r="E16" s="317"/>
      <c r="F16" s="411" t="e">
        <f>COUNTIFS(#REF!,"&gt;=13",#REF!, "&lt;=17",#REF!,"Female",#REF!,"White",#REF!,"NO")</f>
        <v>#REF!</v>
      </c>
      <c r="G16" s="411"/>
      <c r="H16" s="412"/>
      <c r="I16" s="412"/>
      <c r="J16" s="411"/>
      <c r="K16" s="411"/>
      <c r="L16" s="317" t="e">
        <f>COUNTIFS(#REF!,"&gt;=13",#REF!, "&lt;=17",#REF!,"Male",#REF!,"African American /Black")</f>
        <v>#REF!</v>
      </c>
      <c r="M16" s="317"/>
      <c r="N16" s="411" t="e">
        <f>COUNTIFS(#REF!,"&gt;=13",#REF!, "&lt;=17",#REF!,"Female",#REF!,"African American /Black",#REF!,"NO")</f>
        <v>#REF!</v>
      </c>
      <c r="O16" s="411"/>
      <c r="P16" s="412"/>
      <c r="Q16" s="412"/>
      <c r="R16" s="411"/>
      <c r="S16" s="411"/>
      <c r="T16" s="412" t="e">
        <f>COUNTIFS(#REF!,"&gt;=13",#REF!, "&lt;=17",#REF!,"Male",#REF!,"Native Hawaiian / Other Pacific Islander")</f>
        <v>#REF!</v>
      </c>
      <c r="U16" s="412"/>
      <c r="V16" s="411" t="e">
        <f>COUNTIFS(#REF!,"&gt;=13",#REF!, "&lt;=17",#REF!,"Female",#REF!,"Native Hawaiian / Other Pacific Islander",#REF!,"NO")</f>
        <v>#REF!</v>
      </c>
      <c r="W16" s="411"/>
      <c r="X16" s="412"/>
      <c r="Y16" s="412"/>
      <c r="Z16" s="411"/>
      <c r="AA16" s="411"/>
      <c r="AB16" s="412" t="e">
        <f>COUNTIFS(#REF!,"&gt;=13",#REF!, "&lt;=17",#REF!,"Male",#REF!,"Asian ")</f>
        <v>#REF!</v>
      </c>
      <c r="AC16" s="412"/>
      <c r="AD16" s="411" t="e">
        <f>COUNTIFS(#REF!,"&gt;=13",#REF!, "&lt;=17",#REF!,"Female",#REF!,"Asian ",#REF!,"NO")</f>
        <v>#REF!</v>
      </c>
      <c r="AE16" s="411"/>
      <c r="AF16" s="412"/>
      <c r="AG16" s="412"/>
      <c r="AH16" s="411"/>
      <c r="AI16" s="411"/>
      <c r="AJ16" s="412" t="e">
        <f>COUNTIFS(#REF!,"&gt;=13",#REF!, "&lt;=17",#REF!,"Male",#REF!,"American Indian / Alaska Native")</f>
        <v>#REF!</v>
      </c>
      <c r="AK16" s="412"/>
      <c r="AL16" s="411" t="e">
        <f>COUNTIFS(#REF!,"&gt;=13",#REF!, "&lt;=17",#REF!,"Female",#REF!,"American Indian / Alaska Native",#REF!,"NO")</f>
        <v>#REF!</v>
      </c>
      <c r="AM16" s="411"/>
      <c r="AN16" s="412"/>
      <c r="AO16" s="412"/>
      <c r="AP16" s="411"/>
      <c r="AQ16" s="411"/>
      <c r="AR16" s="412" t="e">
        <f>COUNTIFS(#REF!,"&gt;=13",#REF!, "&lt;=17",#REF!,"Male",#REF!,"More than one race reported")</f>
        <v>#REF!</v>
      </c>
      <c r="AS16" s="412"/>
      <c r="AT16" s="411" t="e">
        <f>COUNTIFS(#REF!,"&gt;=13",#REF!, "&lt;=17",#REF!,"Female",#REF!,"More than one race reported",#REF!,"NO")</f>
        <v>#REF!</v>
      </c>
      <c r="AU16" s="411"/>
      <c r="AV16" s="412"/>
      <c r="AW16" s="412"/>
      <c r="AX16" s="411"/>
      <c r="AY16" s="411"/>
      <c r="AZ16" s="412" t="e">
        <f>COUNTIFS(#REF!,"&gt;=13",#REF!, "&lt;=17",#REF!,"Male",#REF!,"Unknown")</f>
        <v>#REF!</v>
      </c>
      <c r="BA16" s="412"/>
      <c r="BB16" s="421" t="e">
        <f>COUNTIFS(#REF!,"&gt;=13",#REF!, "&lt;=17",#REF!,"Female",#REF!,"Unknown",#REF!,"NO")</f>
        <v>#REF!</v>
      </c>
      <c r="BC16" s="421"/>
      <c r="BD16" s="412"/>
      <c r="BE16" s="412"/>
      <c r="BF16" s="411"/>
      <c r="BG16" s="411"/>
      <c r="BH16" s="423" t="e">
        <f t="shared" si="0"/>
        <v>#REF!</v>
      </c>
      <c r="BI16" s="423"/>
      <c r="BJ16" s="422" t="e">
        <f t="shared" si="1"/>
        <v>#REF!</v>
      </c>
      <c r="BK16" s="422"/>
      <c r="BL16" s="420"/>
      <c r="BM16" s="420"/>
      <c r="BN16" s="420"/>
      <c r="BO16" s="420"/>
      <c r="BP16" s="2"/>
      <c r="BQ16" s="417" t="e">
        <f>COUNTIFS(#REF!,"&gt;=13",#REF!, "&lt;=17",#REF!,"Male",#REF!,"Not Hispanic or Latino")</f>
        <v>#REF!</v>
      </c>
      <c r="BR16" s="417"/>
      <c r="BS16" s="418" t="e">
        <f>COUNTIFS(#REF!,"&gt;=13",#REF!, "&lt;=17",#REF!,"Female",#REF!,"Not Hispanic or Latino",#REF!,"NO")</f>
        <v>#REF!</v>
      </c>
      <c r="BT16" s="418"/>
      <c r="BU16" s="417"/>
      <c r="BV16" s="417"/>
      <c r="BW16" s="418"/>
      <c r="BX16" s="418"/>
      <c r="BY16" s="417" t="e">
        <f>COUNTIFS(#REF!,"&gt;=13",#REF!, "&lt;=17",#REF!,"Male",#REF!,"Hispanic-Latino ")</f>
        <v>#REF!</v>
      </c>
      <c r="BZ16" s="417"/>
      <c r="CA16" s="418" t="e">
        <f>COUNTIFS(#REF!,"&gt;=13",#REF!, "&lt;=17",#REF!,"Female",#REF!,"Hispanic-Latino ",#REF!,"NO")</f>
        <v>#REF!</v>
      </c>
      <c r="CB16" s="418"/>
      <c r="CC16" s="417"/>
      <c r="CD16" s="417"/>
      <c r="CE16" s="418"/>
      <c r="CF16" s="418"/>
      <c r="CG16" s="417" t="e">
        <f>COUNTIFS(#REF!,"&gt;=13",#REF!, "&lt;=17",#REF!,"Male",#REF!,"Unknown")</f>
        <v>#REF!</v>
      </c>
      <c r="CH16" s="417"/>
      <c r="CI16" s="418" t="e">
        <f>COUNTIFS(#REF!,"&gt;=13",#REF!, "&lt;=17",#REF!,"Female",#REF!,"Unknown",#REF!,"NO")</f>
        <v>#REF!</v>
      </c>
      <c r="CJ16" s="418"/>
      <c r="CK16" s="417"/>
      <c r="CL16" s="417"/>
      <c r="CM16" s="418"/>
      <c r="CN16" s="418"/>
      <c r="CO16" s="431" t="e">
        <f t="shared" si="2"/>
        <v>#REF!</v>
      </c>
      <c r="CP16" s="431"/>
      <c r="CQ16" s="432" t="e">
        <f t="shared" si="3"/>
        <v>#REF!</v>
      </c>
      <c r="CR16" s="432"/>
      <c r="CS16" s="431"/>
      <c r="CT16" s="431"/>
      <c r="CU16" s="431"/>
      <c r="CV16" s="431"/>
    </row>
    <row r="17" spans="1:100" ht="15" customHeight="1" x14ac:dyDescent="0.25">
      <c r="A17" s="433" t="s">
        <v>127</v>
      </c>
      <c r="B17" s="434"/>
      <c r="C17" s="435"/>
      <c r="D17" s="317" t="e">
        <f>COUNTIFS(#REF!,"&gt;=18",#REF!, "&lt;=20",#REF!,"Male",#REF!,"White")</f>
        <v>#REF!</v>
      </c>
      <c r="E17" s="317"/>
      <c r="F17" s="411" t="e">
        <f>COUNTIFS(#REF!,"&gt;=18",#REF!, "&lt;=20",#REF!,"Female",#REF!,"White",#REF!,"NO")</f>
        <v>#REF!</v>
      </c>
      <c r="G17" s="411"/>
      <c r="H17" s="412"/>
      <c r="I17" s="412"/>
      <c r="J17" s="411"/>
      <c r="K17" s="411"/>
      <c r="L17" s="317" t="e">
        <f>COUNTIFS(#REF!,"&gt;=18",#REF!, "&lt;=20",#REF!,"Male",#REF!,"African American /Black")</f>
        <v>#REF!</v>
      </c>
      <c r="M17" s="317"/>
      <c r="N17" s="411" t="e">
        <f>COUNTIFS(#REF!,"&gt;=18",#REF!, "&lt;=20",#REF!,"Female",#REF!,"African American /Black",#REF!,"NO")</f>
        <v>#REF!</v>
      </c>
      <c r="O17" s="411"/>
      <c r="P17" s="412"/>
      <c r="Q17" s="412"/>
      <c r="R17" s="411"/>
      <c r="S17" s="411"/>
      <c r="T17" s="412" t="e">
        <f>COUNTIFS(#REF!,"&gt;=18",#REF!, "&lt;=20",#REF!,"Male",#REF!,"Native Hawaiian / Other Pacific Islander")</f>
        <v>#REF!</v>
      </c>
      <c r="U17" s="412"/>
      <c r="V17" s="411" t="e">
        <f>COUNTIFS(#REF!,"&gt;=18",#REF!, "&lt;=20",#REF!,"Female",#REF!,"Native Hawaiian / Other Pacific Islander",#REF!,"NO")</f>
        <v>#REF!</v>
      </c>
      <c r="W17" s="411"/>
      <c r="X17" s="412"/>
      <c r="Y17" s="412"/>
      <c r="Z17" s="411"/>
      <c r="AA17" s="411"/>
      <c r="AB17" s="412" t="e">
        <f>COUNTIFS(#REF!,"&gt;=18",#REF!, "&lt;=20",#REF!,"Male",#REF!,"Asian ")</f>
        <v>#REF!</v>
      </c>
      <c r="AC17" s="412"/>
      <c r="AD17" s="411" t="e">
        <f>COUNTIFS(#REF!,"&gt;=18",#REF!, "&lt;=20",#REF!,"Female",#REF!,"Asian ",#REF!,"NO")</f>
        <v>#REF!</v>
      </c>
      <c r="AE17" s="411"/>
      <c r="AF17" s="412"/>
      <c r="AG17" s="412"/>
      <c r="AH17" s="411"/>
      <c r="AI17" s="411"/>
      <c r="AJ17" s="412" t="e">
        <f>COUNTIFS(#REF!,"&gt;=18",#REF!, "&lt;=20",#REF!,"Male",#REF!,"American Indian / Alaska Native")</f>
        <v>#REF!</v>
      </c>
      <c r="AK17" s="412"/>
      <c r="AL17" s="411" t="e">
        <f>COUNTIFS(#REF!,"&gt;=18",#REF!, "&lt;=20",#REF!,"Female",#REF!,"American Indian / Alaska Native",#REF!,"NO")</f>
        <v>#REF!</v>
      </c>
      <c r="AM17" s="411"/>
      <c r="AN17" s="412"/>
      <c r="AO17" s="412"/>
      <c r="AP17" s="411"/>
      <c r="AQ17" s="411"/>
      <c r="AR17" s="412" t="e">
        <f>COUNTIFS(#REF!,"&gt;=18",#REF!, "&lt;=20",#REF!,"Male",#REF!,"More than one race reported")</f>
        <v>#REF!</v>
      </c>
      <c r="AS17" s="412"/>
      <c r="AT17" s="411" t="e">
        <f>COUNTIFS(#REF!,"&gt;=18",#REF!, "&lt;=20",#REF!,"Female",#REF!,"More than one race reported",#REF!,"NO")</f>
        <v>#REF!</v>
      </c>
      <c r="AU17" s="411"/>
      <c r="AV17" s="412"/>
      <c r="AW17" s="412"/>
      <c r="AX17" s="411"/>
      <c r="AY17" s="411"/>
      <c r="AZ17" s="412" t="e">
        <f>COUNTIFS(#REF!,"&gt;=18",#REF!, "&lt;=20",#REF!,"Male",#REF!,"Unknown")</f>
        <v>#REF!</v>
      </c>
      <c r="BA17" s="412"/>
      <c r="BB17" s="421" t="e">
        <f>COUNTIFS(#REF!,"&gt;=18",#REF!, "&lt;=20",#REF!,"Female",#REF!,"Unknown",#REF!,"NO")</f>
        <v>#REF!</v>
      </c>
      <c r="BC17" s="421"/>
      <c r="BD17" s="412"/>
      <c r="BE17" s="412"/>
      <c r="BF17" s="411"/>
      <c r="BG17" s="411"/>
      <c r="BH17" s="423" t="e">
        <f t="shared" si="0"/>
        <v>#REF!</v>
      </c>
      <c r="BI17" s="423"/>
      <c r="BJ17" s="422" t="e">
        <f t="shared" si="1"/>
        <v>#REF!</v>
      </c>
      <c r="BK17" s="422"/>
      <c r="BL17" s="420"/>
      <c r="BM17" s="420"/>
      <c r="BN17" s="420"/>
      <c r="BO17" s="420"/>
      <c r="BP17" s="2"/>
      <c r="BQ17" s="417" t="e">
        <f>COUNTIFS(#REF!,"&gt;=18",#REF!, "&lt;=20",#REF!,"Male",#REF!,"Not Hispanic or Latino")</f>
        <v>#REF!</v>
      </c>
      <c r="BR17" s="417"/>
      <c r="BS17" s="418" t="e">
        <f>COUNTIFS(#REF!,"&gt;=18",#REF!, "&lt;=20",#REF!,"Female",#REF!,"Not Hispanic or Latino",#REF!,"NO")</f>
        <v>#REF!</v>
      </c>
      <c r="BT17" s="418"/>
      <c r="BU17" s="417"/>
      <c r="BV17" s="417"/>
      <c r="BW17" s="418"/>
      <c r="BX17" s="418"/>
      <c r="BY17" s="417" t="e">
        <f>COUNTIFS(#REF!,"&gt;=18",#REF!, "&lt;=20",#REF!,"Male",#REF!,"Hispanic-Latino ")</f>
        <v>#REF!</v>
      </c>
      <c r="BZ17" s="417"/>
      <c r="CA17" s="418" t="e">
        <f>COUNTIFS(#REF!,"&gt;=18",#REF!, "&lt;=20",#REF!,"Female",#REF!,"Hispanic-Latino ",#REF!,"NO")</f>
        <v>#REF!</v>
      </c>
      <c r="CB17" s="418"/>
      <c r="CC17" s="417"/>
      <c r="CD17" s="417"/>
      <c r="CE17" s="418"/>
      <c r="CF17" s="418"/>
      <c r="CG17" s="417" t="e">
        <f>COUNTIFS(#REF!,"&gt;=18",#REF!, "&lt;=20",#REF!,"Male",#REF!,"Unknown")</f>
        <v>#REF!</v>
      </c>
      <c r="CH17" s="417"/>
      <c r="CI17" s="418" t="e">
        <f>COUNTIFS(#REF!,"&gt;=18",#REF!, "&lt;=20",#REF!,"Female",#REF!,"Unknown",#REF!,"NO")</f>
        <v>#REF!</v>
      </c>
      <c r="CJ17" s="418"/>
      <c r="CK17" s="417"/>
      <c r="CL17" s="417"/>
      <c r="CM17" s="418"/>
      <c r="CN17" s="418"/>
      <c r="CO17" s="431" t="e">
        <f t="shared" si="2"/>
        <v>#REF!</v>
      </c>
      <c r="CP17" s="431"/>
      <c r="CQ17" s="432" t="e">
        <f t="shared" si="3"/>
        <v>#REF!</v>
      </c>
      <c r="CR17" s="432"/>
      <c r="CS17" s="431"/>
      <c r="CT17" s="431"/>
      <c r="CU17" s="431"/>
      <c r="CV17" s="431"/>
    </row>
    <row r="18" spans="1:100" ht="15" customHeight="1" x14ac:dyDescent="0.25">
      <c r="A18" s="433" t="s">
        <v>128</v>
      </c>
      <c r="B18" s="434"/>
      <c r="C18" s="435"/>
      <c r="D18" s="317" t="e">
        <f>COUNTIFS(#REF!,"&gt;=21",#REF!, "&lt;=24",#REF!,"Male",#REF!,"White")</f>
        <v>#REF!</v>
      </c>
      <c r="E18" s="317"/>
      <c r="F18" s="411" t="e">
        <f>COUNTIFS(#REF!,"&gt;=21",#REF!, "&lt;=24",#REF!,"Female",#REF!,"White",#REF!,"NO")</f>
        <v>#REF!</v>
      </c>
      <c r="G18" s="411"/>
      <c r="H18" s="412"/>
      <c r="I18" s="412"/>
      <c r="J18" s="411"/>
      <c r="K18" s="411"/>
      <c r="L18" s="317" t="e">
        <f>COUNTIFS(#REF!,"&gt;=21",#REF!, "&lt;=24",#REF!,"Male",#REF!,"African American /Black")</f>
        <v>#REF!</v>
      </c>
      <c r="M18" s="317"/>
      <c r="N18" s="411" t="e">
        <f>COUNTIFS(#REF!,"&gt;=21",#REF!, "&lt;=24",#REF!,"Female",#REF!,"African American /Black",#REF!,"NO")</f>
        <v>#REF!</v>
      </c>
      <c r="O18" s="411"/>
      <c r="P18" s="412"/>
      <c r="Q18" s="412"/>
      <c r="R18" s="411"/>
      <c r="S18" s="411"/>
      <c r="T18" s="412" t="e">
        <f>COUNTIFS(#REF!,"&gt;=21",#REF!, "&lt;=24",#REF!,"Male",#REF!,"Native Hawaiian / Other Pacific Islander")</f>
        <v>#REF!</v>
      </c>
      <c r="U18" s="412"/>
      <c r="V18" s="411" t="e">
        <f>COUNTIFS(#REF!,"&gt;=21",#REF!, "&lt;=24",#REF!,"Female",#REF!,"Native Hawaiian / Other Pacific Islander",#REF!,"NO")</f>
        <v>#REF!</v>
      </c>
      <c r="W18" s="411"/>
      <c r="X18" s="412"/>
      <c r="Y18" s="412"/>
      <c r="Z18" s="411"/>
      <c r="AA18" s="411"/>
      <c r="AB18" s="412" t="e">
        <f>COUNTIFS(#REF!,"&gt;=21",#REF!, "&lt;=24",#REF!,"Male",#REF!,"Asian ")</f>
        <v>#REF!</v>
      </c>
      <c r="AC18" s="412"/>
      <c r="AD18" s="411" t="e">
        <f>COUNTIFS(#REF!,"&gt;=21",#REF!, "&lt;=24",#REF!,"Female",#REF!,"Asian ",#REF!,"NO")</f>
        <v>#REF!</v>
      </c>
      <c r="AE18" s="411"/>
      <c r="AF18" s="412"/>
      <c r="AG18" s="412"/>
      <c r="AH18" s="411"/>
      <c r="AI18" s="411"/>
      <c r="AJ18" s="412" t="e">
        <f>COUNTIFS(#REF!,"&gt;=21",#REF!, "&lt;=24",#REF!,"Male",#REF!,"American Indian / Alaska Native")</f>
        <v>#REF!</v>
      </c>
      <c r="AK18" s="412"/>
      <c r="AL18" s="411" t="e">
        <f>COUNTIFS(#REF!,"&gt;=21",#REF!, "&lt;=24",#REF!,"Female",#REF!,"American Indian / Alaska Native",#REF!,"NO")</f>
        <v>#REF!</v>
      </c>
      <c r="AM18" s="411"/>
      <c r="AN18" s="412"/>
      <c r="AO18" s="412"/>
      <c r="AP18" s="411"/>
      <c r="AQ18" s="411"/>
      <c r="AR18" s="412" t="e">
        <f>COUNTIFS(#REF!,"&gt;=21",#REF!, "&lt;=24",#REF!,"Male",#REF!,"More than one race reported")</f>
        <v>#REF!</v>
      </c>
      <c r="AS18" s="412"/>
      <c r="AT18" s="411" t="e">
        <f>COUNTIFS(#REF!,"&gt;=21",#REF!, "&lt;=24",#REF!,"Female",#REF!,"More than one race reported",#REF!,"NO")</f>
        <v>#REF!</v>
      </c>
      <c r="AU18" s="411"/>
      <c r="AV18" s="412"/>
      <c r="AW18" s="412"/>
      <c r="AX18" s="411"/>
      <c r="AY18" s="411"/>
      <c r="AZ18" s="412" t="e">
        <f>COUNTIFS(#REF!,"&gt;=21",#REF!, "&lt;=24",#REF!,"Male",#REF!,"Unknown")</f>
        <v>#REF!</v>
      </c>
      <c r="BA18" s="412"/>
      <c r="BB18" s="421" t="e">
        <f>COUNTIFS(#REF!,"&gt;=21",#REF!, "&lt;=24",#REF!,"Female",#REF!,"Unknown",#REF!,"NO")</f>
        <v>#REF!</v>
      </c>
      <c r="BC18" s="421"/>
      <c r="BD18" s="412"/>
      <c r="BE18" s="412"/>
      <c r="BF18" s="411"/>
      <c r="BG18" s="411"/>
      <c r="BH18" s="423" t="e">
        <f t="shared" si="0"/>
        <v>#REF!</v>
      </c>
      <c r="BI18" s="423"/>
      <c r="BJ18" s="422" t="e">
        <f t="shared" si="1"/>
        <v>#REF!</v>
      </c>
      <c r="BK18" s="422"/>
      <c r="BL18" s="420"/>
      <c r="BM18" s="420"/>
      <c r="BN18" s="420"/>
      <c r="BO18" s="420"/>
      <c r="BP18" s="2"/>
      <c r="BQ18" s="417" t="e">
        <f>COUNTIFS(#REF!,"&gt;=21",#REF!, "&lt;=24",#REF!,"Male",#REF!,"Not Hispanic or Latino")</f>
        <v>#REF!</v>
      </c>
      <c r="BR18" s="417"/>
      <c r="BS18" s="418" t="e">
        <f>COUNTIFS(#REF!,"&gt;=21",#REF!, "&lt;=24",#REF!,"Female",#REF!,"Not Hispanic or Latino",#REF!,"NO")</f>
        <v>#REF!</v>
      </c>
      <c r="BT18" s="418"/>
      <c r="BU18" s="417"/>
      <c r="BV18" s="417"/>
      <c r="BW18" s="418"/>
      <c r="BX18" s="418"/>
      <c r="BY18" s="417" t="e">
        <f>COUNTIFS(#REF!,"&gt;=21",#REF!, "&lt;=24",#REF!,"Male",#REF!,"Hispanic-Latino ")</f>
        <v>#REF!</v>
      </c>
      <c r="BZ18" s="417"/>
      <c r="CA18" s="418" t="e">
        <f>COUNTIFS(#REF!,"&gt;=21",#REF!, "&lt;=24",#REF!,"Female",#REF!,"Hispanic-Latino ",#REF!,"NO")</f>
        <v>#REF!</v>
      </c>
      <c r="CB18" s="418"/>
      <c r="CC18" s="417"/>
      <c r="CD18" s="417"/>
      <c r="CE18" s="418"/>
      <c r="CF18" s="418"/>
      <c r="CG18" s="417" t="e">
        <f>COUNTIFS(#REF!,"&gt;=21",#REF!, "&lt;=24",#REF!,"Male",#REF!,"Unknown")</f>
        <v>#REF!</v>
      </c>
      <c r="CH18" s="417"/>
      <c r="CI18" s="418" t="e">
        <f>COUNTIFS(#REF!,"&gt;=21",#REF!, "&lt;=24",#REF!,"Female",#REF!,"Unknown",#REF!,"NO")</f>
        <v>#REF!</v>
      </c>
      <c r="CJ18" s="418"/>
      <c r="CK18" s="417"/>
      <c r="CL18" s="417"/>
      <c r="CM18" s="418"/>
      <c r="CN18" s="418"/>
      <c r="CO18" s="431" t="e">
        <f t="shared" si="2"/>
        <v>#REF!</v>
      </c>
      <c r="CP18" s="431"/>
      <c r="CQ18" s="432" t="e">
        <f t="shared" si="3"/>
        <v>#REF!</v>
      </c>
      <c r="CR18" s="432"/>
      <c r="CS18" s="431"/>
      <c r="CT18" s="431"/>
      <c r="CU18" s="431"/>
      <c r="CV18" s="431"/>
    </row>
    <row r="19" spans="1:100" ht="15" customHeight="1" x14ac:dyDescent="0.25">
      <c r="A19" s="433" t="s">
        <v>129</v>
      </c>
      <c r="B19" s="434"/>
      <c r="C19" s="435"/>
      <c r="D19" s="317" t="e">
        <f>COUNTIFS(#REF!,"&gt;=25",#REF!, "&lt;=34",#REF!,"Male",#REF!,"White")</f>
        <v>#REF!</v>
      </c>
      <c r="E19" s="317"/>
      <c r="F19" s="411" t="e">
        <f>COUNTIFS(#REF!,"&gt;=25",#REF!, "&lt;=34",#REF!,"Female",#REF!,"White",#REF!,"NO")</f>
        <v>#REF!</v>
      </c>
      <c r="G19" s="411"/>
      <c r="H19" s="412"/>
      <c r="I19" s="412"/>
      <c r="J19" s="411"/>
      <c r="K19" s="411"/>
      <c r="L19" s="317" t="e">
        <f>COUNTIFS(#REF!,"&gt;=25",#REF!, "&lt;=34",#REF!,"Male",#REF!,"African American /Black")</f>
        <v>#REF!</v>
      </c>
      <c r="M19" s="317"/>
      <c r="N19" s="411" t="e">
        <f>COUNTIFS(#REF!,"&gt;=25",#REF!, "&lt;=34",#REF!,"Female",#REF!,"African American /Black",#REF!,"NO")</f>
        <v>#REF!</v>
      </c>
      <c r="O19" s="411"/>
      <c r="P19" s="412"/>
      <c r="Q19" s="412"/>
      <c r="R19" s="411"/>
      <c r="S19" s="411"/>
      <c r="T19" s="412" t="e">
        <f>COUNTIFS(#REF!,"&gt;=25",#REF!, "&lt;=34",#REF!,"Male",#REF!,"Native Hawaiian / Other Pacific Islander")</f>
        <v>#REF!</v>
      </c>
      <c r="U19" s="412"/>
      <c r="V19" s="411" t="e">
        <f>COUNTIFS(#REF!,"&gt;=25",#REF!, "&lt;=34",#REF!,"Female",#REF!,"Native Hawaiian / Other Pacific Islander",#REF!,"NO")</f>
        <v>#REF!</v>
      </c>
      <c r="W19" s="411"/>
      <c r="X19" s="412"/>
      <c r="Y19" s="412"/>
      <c r="Z19" s="411"/>
      <c r="AA19" s="411"/>
      <c r="AB19" s="412" t="e">
        <f>COUNTIFS(#REF!,"&gt;=25",#REF!, "&lt;=34",#REF!,"Male",#REF!,"Asian ")</f>
        <v>#REF!</v>
      </c>
      <c r="AC19" s="412"/>
      <c r="AD19" s="411" t="e">
        <f>COUNTIFS(#REF!,"&gt;=25",#REF!, "&lt;=34",#REF!,"Female",#REF!,"Asian ",#REF!,"NO")</f>
        <v>#REF!</v>
      </c>
      <c r="AE19" s="411"/>
      <c r="AF19" s="412"/>
      <c r="AG19" s="412"/>
      <c r="AH19" s="411"/>
      <c r="AI19" s="411"/>
      <c r="AJ19" s="412" t="e">
        <f>COUNTIFS(#REF!,"&gt;=25",#REF!, "&lt;=34",#REF!,"Male",#REF!,"American Indian / Alaska Native")</f>
        <v>#REF!</v>
      </c>
      <c r="AK19" s="412"/>
      <c r="AL19" s="411" t="e">
        <f>COUNTIFS(#REF!,"&gt;=25",#REF!, "&lt;=34",#REF!,"Female",#REF!,"American Indian / Alaska Native",#REF!,"NO")</f>
        <v>#REF!</v>
      </c>
      <c r="AM19" s="411"/>
      <c r="AN19" s="412"/>
      <c r="AO19" s="412"/>
      <c r="AP19" s="411"/>
      <c r="AQ19" s="411"/>
      <c r="AR19" s="412" t="e">
        <f>COUNTIFS(#REF!,"&gt;=25",#REF!, "&lt;=34",#REF!,"Male",#REF!,"More than one race reported")</f>
        <v>#REF!</v>
      </c>
      <c r="AS19" s="412"/>
      <c r="AT19" s="411" t="e">
        <f>COUNTIFS(#REF!,"&gt;=25",#REF!, "&lt;=34",#REF!,"Female",#REF!,"More than one race reported",#REF!,"NO")</f>
        <v>#REF!</v>
      </c>
      <c r="AU19" s="411"/>
      <c r="AV19" s="412"/>
      <c r="AW19" s="412"/>
      <c r="AX19" s="411"/>
      <c r="AY19" s="411"/>
      <c r="AZ19" s="412" t="e">
        <f>COUNTIFS(#REF!,"&gt;=25",#REF!, "&lt;=34",#REF!,"Male",#REF!,"Unknown")</f>
        <v>#REF!</v>
      </c>
      <c r="BA19" s="412"/>
      <c r="BB19" s="421" t="e">
        <f>COUNTIFS(#REF!,"&gt;=25",#REF!, "&lt;=34",#REF!,"Female",#REF!,"Unknown",#REF!,"NO")</f>
        <v>#REF!</v>
      </c>
      <c r="BC19" s="421"/>
      <c r="BD19" s="412"/>
      <c r="BE19" s="412"/>
      <c r="BF19" s="411"/>
      <c r="BG19" s="411"/>
      <c r="BH19" s="423" t="e">
        <f t="shared" si="0"/>
        <v>#REF!</v>
      </c>
      <c r="BI19" s="423"/>
      <c r="BJ19" s="422" t="e">
        <f t="shared" si="1"/>
        <v>#REF!</v>
      </c>
      <c r="BK19" s="422"/>
      <c r="BL19" s="420"/>
      <c r="BM19" s="420"/>
      <c r="BN19" s="420"/>
      <c r="BO19" s="420"/>
      <c r="BP19" s="2"/>
      <c r="BQ19" s="417" t="e">
        <f>COUNTIFS(#REF!,"&gt;=25",#REF!, "&lt;=34",#REF!,"Male",#REF!,"Not Hispanic or Latino")</f>
        <v>#REF!</v>
      </c>
      <c r="BR19" s="417"/>
      <c r="BS19" s="418" t="e">
        <f>COUNTIFS(#REF!,"&gt;=25",#REF!, "&lt;=34",#REF!,"Female",#REF!,"Not Hispanic or Latino",#REF!,"NO")</f>
        <v>#REF!</v>
      </c>
      <c r="BT19" s="418"/>
      <c r="BU19" s="417"/>
      <c r="BV19" s="417"/>
      <c r="BW19" s="418"/>
      <c r="BX19" s="418"/>
      <c r="BY19" s="417" t="e">
        <f>COUNTIFS(#REF!,"&gt;=25",#REF!, "&lt;=34",#REF!,"Male",#REF!,"Hispanic-Latino ")</f>
        <v>#REF!</v>
      </c>
      <c r="BZ19" s="417"/>
      <c r="CA19" s="418" t="e">
        <f>COUNTIFS(#REF!,"&gt;=25",#REF!, "&lt;=34",#REF!,"Female",#REF!,"NHispanic-Latino ",#REF!,"NO")</f>
        <v>#REF!</v>
      </c>
      <c r="CB19" s="418"/>
      <c r="CC19" s="417"/>
      <c r="CD19" s="417"/>
      <c r="CE19" s="418"/>
      <c r="CF19" s="418"/>
      <c r="CG19" s="417" t="e">
        <f>COUNTIFS(#REF!,"&gt;=25",#REF!, "&lt;=34",#REF!,"Male",#REF!,"Unknown")</f>
        <v>#REF!</v>
      </c>
      <c r="CH19" s="417"/>
      <c r="CI19" s="418" t="e">
        <f>COUNTIFS(#REF!,"&gt;=25",#REF!, "&lt;=34",#REF!,"Female",#REF!,"Unknown",#REF!,"NO")</f>
        <v>#REF!</v>
      </c>
      <c r="CJ19" s="418"/>
      <c r="CK19" s="417"/>
      <c r="CL19" s="417"/>
      <c r="CM19" s="418"/>
      <c r="CN19" s="418"/>
      <c r="CO19" s="431" t="e">
        <f t="shared" si="2"/>
        <v>#REF!</v>
      </c>
      <c r="CP19" s="431"/>
      <c r="CQ19" s="432" t="e">
        <f t="shared" si="3"/>
        <v>#REF!</v>
      </c>
      <c r="CR19" s="432"/>
      <c r="CS19" s="431"/>
      <c r="CT19" s="431"/>
      <c r="CU19" s="431"/>
      <c r="CV19" s="431"/>
    </row>
    <row r="20" spans="1:100" ht="15" customHeight="1" x14ac:dyDescent="0.25">
      <c r="A20" s="433" t="s">
        <v>130</v>
      </c>
      <c r="B20" s="434"/>
      <c r="C20" s="435"/>
      <c r="D20" s="317" t="e">
        <f>COUNTIFS(#REF!,"&gt;=35",#REF!, "&lt;=44",#REF!,"Male",#REF!,"White")</f>
        <v>#REF!</v>
      </c>
      <c r="E20" s="317"/>
      <c r="F20" s="411" t="e">
        <f>COUNTIFS(#REF!,"&gt;=35",#REF!, "&lt;=44",#REF!,"Female",#REF!,"White",#REF!,"NO")</f>
        <v>#REF!</v>
      </c>
      <c r="G20" s="411"/>
      <c r="H20" s="412"/>
      <c r="I20" s="412"/>
      <c r="J20" s="411"/>
      <c r="K20" s="411"/>
      <c r="L20" s="317" t="e">
        <f>COUNTIFS(#REF!,"&gt;=35",#REF!, "&lt;=44",#REF!,"Male",#REF!,"African American /Black")</f>
        <v>#REF!</v>
      </c>
      <c r="M20" s="317"/>
      <c r="N20" s="411" t="e">
        <f>COUNTIFS(#REF!,"&gt;=35",#REF!, "&lt;=44",#REF!,"Female",#REF!,"African American /Black",#REF!,"NO")</f>
        <v>#REF!</v>
      </c>
      <c r="O20" s="411"/>
      <c r="P20" s="412"/>
      <c r="Q20" s="412"/>
      <c r="R20" s="411"/>
      <c r="S20" s="411"/>
      <c r="T20" s="412" t="e">
        <f>COUNTIFS(#REF!,"&gt;=35",#REF!, "&lt;=44",#REF!,"Male",#REF!,"Native Hawaiian / Other Pacific Islander")</f>
        <v>#REF!</v>
      </c>
      <c r="U20" s="412"/>
      <c r="V20" s="411" t="e">
        <f>COUNTIFS(#REF!,"&gt;=35",#REF!, "&lt;=44",#REF!,"Female",#REF!,"Native Hawaiian / Other Pacific Islander",#REF!,"NO")</f>
        <v>#REF!</v>
      </c>
      <c r="W20" s="411"/>
      <c r="X20" s="412"/>
      <c r="Y20" s="412"/>
      <c r="Z20" s="411"/>
      <c r="AA20" s="411"/>
      <c r="AB20" s="412" t="e">
        <f>COUNTIFS(#REF!,"&gt;=35",#REF!, "&lt;=44",#REF!,"Male",#REF!,"Asian ")</f>
        <v>#REF!</v>
      </c>
      <c r="AC20" s="412"/>
      <c r="AD20" s="411" t="e">
        <f>COUNTIFS(#REF!,"&gt;=35",#REF!, "&lt;=44",#REF!,"Female",#REF!,"Asian ",#REF!,"NO")</f>
        <v>#REF!</v>
      </c>
      <c r="AE20" s="411"/>
      <c r="AF20" s="412"/>
      <c r="AG20" s="412"/>
      <c r="AH20" s="411"/>
      <c r="AI20" s="411"/>
      <c r="AJ20" s="412" t="e">
        <f>COUNTIFS(#REF!,"&gt;=35",#REF!, "&lt;=44",#REF!,"Male",#REF!,"American Indian / Alaska Native")</f>
        <v>#REF!</v>
      </c>
      <c r="AK20" s="412"/>
      <c r="AL20" s="411" t="e">
        <f>COUNTIFS(#REF!,"&gt;=35",#REF!, "&lt;=44",#REF!,"Female",#REF!,"American Indian / Alaska Native",#REF!,"NO")</f>
        <v>#REF!</v>
      </c>
      <c r="AM20" s="411"/>
      <c r="AN20" s="412"/>
      <c r="AO20" s="412"/>
      <c r="AP20" s="411"/>
      <c r="AQ20" s="411"/>
      <c r="AR20" s="412" t="e">
        <f>COUNTIFS(#REF!,"&gt;=35",#REF!, "&lt;=44",#REF!,"Male",#REF!,"More than one race reported")</f>
        <v>#REF!</v>
      </c>
      <c r="AS20" s="412"/>
      <c r="AT20" s="411" t="e">
        <f>COUNTIFS(#REF!,"&gt;=35",#REF!, "&lt;=44",#REF!,"Female",#REF!,"More than one race reported",#REF!,"NO")</f>
        <v>#REF!</v>
      </c>
      <c r="AU20" s="411"/>
      <c r="AV20" s="412"/>
      <c r="AW20" s="412"/>
      <c r="AX20" s="411"/>
      <c r="AY20" s="411"/>
      <c r="AZ20" s="412" t="e">
        <f>COUNTIFS(#REF!,"&gt;=35",#REF!, "&lt;=44",#REF!,"Male",#REF!,"Unknown")</f>
        <v>#REF!</v>
      </c>
      <c r="BA20" s="412"/>
      <c r="BB20" s="421" t="e">
        <f>COUNTIFS(#REF!,"&gt;=35",#REF!, "&lt;=44",#REF!,"Female",#REF!,"Unknown",#REF!,"NO")</f>
        <v>#REF!</v>
      </c>
      <c r="BC20" s="421"/>
      <c r="BD20" s="412"/>
      <c r="BE20" s="412"/>
      <c r="BF20" s="411"/>
      <c r="BG20" s="411"/>
      <c r="BH20" s="423" t="e">
        <f t="shared" si="0"/>
        <v>#REF!</v>
      </c>
      <c r="BI20" s="423"/>
      <c r="BJ20" s="422" t="e">
        <f t="shared" si="1"/>
        <v>#REF!</v>
      </c>
      <c r="BK20" s="422"/>
      <c r="BL20" s="420"/>
      <c r="BM20" s="420"/>
      <c r="BN20" s="420"/>
      <c r="BO20" s="420"/>
      <c r="BP20" s="2"/>
      <c r="BQ20" s="417" t="e">
        <f>COUNTIFS(#REF!,"&gt;=35",#REF!, "&lt;=44",#REF!,"Male",#REF!,"Not Hispanic or Latino")</f>
        <v>#REF!</v>
      </c>
      <c r="BR20" s="417"/>
      <c r="BS20" s="418" t="e">
        <f>COUNTIFS(#REF!,"&gt;=35",#REF!, "&lt;=44",#REF!,"Female",#REF!,"Not Hispanic or Latino",#REF!,"NO")</f>
        <v>#REF!</v>
      </c>
      <c r="BT20" s="418"/>
      <c r="BU20" s="417"/>
      <c r="BV20" s="417"/>
      <c r="BW20" s="418"/>
      <c r="BX20" s="418"/>
      <c r="BY20" s="417" t="e">
        <f>COUNTIFS(#REF!,"&gt;=35",#REF!, "&lt;=44",#REF!,"Male",#REF!,"Hispanic-Latino ")</f>
        <v>#REF!</v>
      </c>
      <c r="BZ20" s="417"/>
      <c r="CA20" s="418" t="e">
        <f>COUNTIFS(#REF!,"&gt;=35",#REF!, "&lt;=44",#REF!,"Female",#REF!,"Hispanic-Latino ",#REF!,"NO")</f>
        <v>#REF!</v>
      </c>
      <c r="CB20" s="418"/>
      <c r="CC20" s="417"/>
      <c r="CD20" s="417"/>
      <c r="CE20" s="418"/>
      <c r="CF20" s="418"/>
      <c r="CG20" s="417" t="e">
        <f>COUNTIFS(#REF!,"&gt;=35",#REF!, "&lt;=44",#REF!,"Male",#REF!,"Unknown")</f>
        <v>#REF!</v>
      </c>
      <c r="CH20" s="417"/>
      <c r="CI20" s="418" t="e">
        <f>COUNTIFS(#REF!,"&gt;=35",#REF!, "&lt;=44",#REF!,"Female",#REF!,"Unknown",#REF!,"NO")</f>
        <v>#REF!</v>
      </c>
      <c r="CJ20" s="418"/>
      <c r="CK20" s="417"/>
      <c r="CL20" s="417"/>
      <c r="CM20" s="418"/>
      <c r="CN20" s="418"/>
      <c r="CO20" s="431" t="e">
        <f t="shared" si="2"/>
        <v>#REF!</v>
      </c>
      <c r="CP20" s="431"/>
      <c r="CQ20" s="432" t="e">
        <f t="shared" si="3"/>
        <v>#REF!</v>
      </c>
      <c r="CR20" s="432"/>
      <c r="CS20" s="431"/>
      <c r="CT20" s="431"/>
      <c r="CU20" s="431"/>
      <c r="CV20" s="431"/>
    </row>
    <row r="21" spans="1:100" ht="15" customHeight="1" x14ac:dyDescent="0.25">
      <c r="A21" s="433" t="s">
        <v>131</v>
      </c>
      <c r="B21" s="434"/>
      <c r="C21" s="435"/>
      <c r="D21" s="317" t="e">
        <f>COUNTIFS(#REF!,"&gt;=45",#REF!, "&lt;=54",#REF!,"Male",#REF!,"White")</f>
        <v>#REF!</v>
      </c>
      <c r="E21" s="317"/>
      <c r="F21" s="411" t="e">
        <f>COUNTIFS(#REF!,"&gt;=45",#REF!, "&lt;=54",#REF!,"Female",#REF!,"White",#REF!,"NO")</f>
        <v>#REF!</v>
      </c>
      <c r="G21" s="411"/>
      <c r="H21" s="412"/>
      <c r="I21" s="412"/>
      <c r="J21" s="411"/>
      <c r="K21" s="411"/>
      <c r="L21" s="317" t="e">
        <f>COUNTIFS(#REF!,"&gt;=45",#REF!, "&lt;=54",#REF!,"Male",#REF!,"African American /Black")</f>
        <v>#REF!</v>
      </c>
      <c r="M21" s="317"/>
      <c r="N21" s="411" t="e">
        <f>COUNTIFS(#REF!,"&gt;=45",#REF!, "&lt;=54",#REF!,"Female",#REF!,"African American /Black",#REF!,"NO")</f>
        <v>#REF!</v>
      </c>
      <c r="O21" s="411"/>
      <c r="P21" s="412"/>
      <c r="Q21" s="412"/>
      <c r="R21" s="411"/>
      <c r="S21" s="411"/>
      <c r="T21" s="412" t="e">
        <f>COUNTIFS(#REF!,"&gt;=45",#REF!, "&lt;=54",#REF!,"Male",#REF!,"Native Hawaiian / Other Pacific Islander")</f>
        <v>#REF!</v>
      </c>
      <c r="U21" s="412"/>
      <c r="V21" s="411" t="e">
        <f>COUNTIFS(#REF!,"&gt;=45",#REF!, "&lt;=54",#REF!,"Female",#REF!,"Native Hawaiian / Other Pacific Islander",#REF!,"NO")</f>
        <v>#REF!</v>
      </c>
      <c r="W21" s="411"/>
      <c r="X21" s="412"/>
      <c r="Y21" s="412"/>
      <c r="Z21" s="411"/>
      <c r="AA21" s="411"/>
      <c r="AB21" s="412" t="e">
        <f>COUNTIFS(#REF!,"&gt;=45",#REF!, "&lt;=54",#REF!,"Male",#REF!,"Asian ")</f>
        <v>#REF!</v>
      </c>
      <c r="AC21" s="412"/>
      <c r="AD21" s="411" t="e">
        <f>COUNTIFS(#REF!,"&gt;=45",#REF!, "&lt;=54",#REF!,"Female",#REF!,"Asian ",#REF!,"NO")</f>
        <v>#REF!</v>
      </c>
      <c r="AE21" s="411"/>
      <c r="AF21" s="412"/>
      <c r="AG21" s="412"/>
      <c r="AH21" s="411"/>
      <c r="AI21" s="411"/>
      <c r="AJ21" s="412" t="e">
        <f>COUNTIFS(#REF!,"&gt;=45",#REF!, "&lt;=54",#REF!,"Male",#REF!,"American Indian / Alaska Native")</f>
        <v>#REF!</v>
      </c>
      <c r="AK21" s="412"/>
      <c r="AL21" s="411" t="e">
        <f>COUNTIFS(#REF!,"&gt;=45",#REF!, "&lt;=54",#REF!,"Female",#REF!,"American Indian / Alaska Native",#REF!,"NO")</f>
        <v>#REF!</v>
      </c>
      <c r="AM21" s="411"/>
      <c r="AN21" s="412"/>
      <c r="AO21" s="412"/>
      <c r="AP21" s="411"/>
      <c r="AQ21" s="411"/>
      <c r="AR21" s="412" t="e">
        <f>COUNTIFS(#REF!,"&gt;=45",#REF!, "&lt;=54",#REF!,"Male",#REF!,"More than one race reported")</f>
        <v>#REF!</v>
      </c>
      <c r="AS21" s="412"/>
      <c r="AT21" s="411" t="e">
        <f>COUNTIFS(#REF!,"&gt;=45",#REF!, "&lt;=54",#REF!,"Female",#REF!,"More than one race reported",#REF!,"NO")</f>
        <v>#REF!</v>
      </c>
      <c r="AU21" s="411"/>
      <c r="AV21" s="412"/>
      <c r="AW21" s="412"/>
      <c r="AX21" s="411"/>
      <c r="AY21" s="411"/>
      <c r="AZ21" s="412" t="e">
        <f>COUNTIFS(#REF!,"&gt;=45",#REF!, "&lt;=54",#REF!,"Male",#REF!,"Unknown")</f>
        <v>#REF!</v>
      </c>
      <c r="BA21" s="412"/>
      <c r="BB21" s="421" t="e">
        <f>COUNTIFS(#REF!,"&gt;=45",#REF!, "&lt;=54",#REF!,"Female",#REF!,"Unknown",#REF!,"NO")</f>
        <v>#REF!</v>
      </c>
      <c r="BC21" s="421"/>
      <c r="BD21" s="412"/>
      <c r="BE21" s="412"/>
      <c r="BF21" s="411"/>
      <c r="BG21" s="411"/>
      <c r="BH21" s="423" t="e">
        <f t="shared" si="0"/>
        <v>#REF!</v>
      </c>
      <c r="BI21" s="423"/>
      <c r="BJ21" s="422" t="e">
        <f t="shared" si="1"/>
        <v>#REF!</v>
      </c>
      <c r="BK21" s="422"/>
      <c r="BL21" s="420"/>
      <c r="BM21" s="420"/>
      <c r="BN21" s="420"/>
      <c r="BO21" s="420"/>
      <c r="BP21" s="2"/>
      <c r="BQ21" s="417" t="e">
        <f>COUNTIFS(#REF!,"&gt;=45",#REF!, "&lt;=54",#REF!,"Male",#REF!,"Not Hispanic or Latino")</f>
        <v>#REF!</v>
      </c>
      <c r="BR21" s="417"/>
      <c r="BS21" s="418" t="e">
        <f>COUNTIFS(#REF!,"&gt;=45",#REF!, "&lt;=54",#REF!,"Female",#REF!,"Not Hispanic or Latino",#REF!,"NO")</f>
        <v>#REF!</v>
      </c>
      <c r="BT21" s="418"/>
      <c r="BU21" s="417"/>
      <c r="BV21" s="417"/>
      <c r="BW21" s="418"/>
      <c r="BX21" s="418"/>
      <c r="BY21" s="417" t="e">
        <f>COUNTIFS(#REF!,"&gt;=45",#REF!, "&lt;=54",#REF!,"Male",#REF!,"Hispanic-Latino ")</f>
        <v>#REF!</v>
      </c>
      <c r="BZ21" s="417"/>
      <c r="CA21" s="418" t="e">
        <f>COUNTIFS(#REF!,"&gt;=45",#REF!, "&lt;=54",#REF!,"Female",#REF!,"Hispanic-Latino ",#REF!,"NO")</f>
        <v>#REF!</v>
      </c>
      <c r="CB21" s="418"/>
      <c r="CC21" s="417"/>
      <c r="CD21" s="417"/>
      <c r="CE21" s="418"/>
      <c r="CF21" s="418"/>
      <c r="CG21" s="417" t="e">
        <f>COUNTIFS(#REF!,"&gt;=45",#REF!, "&lt;=54",#REF!,"Male",#REF!,"Unknown")</f>
        <v>#REF!</v>
      </c>
      <c r="CH21" s="417"/>
      <c r="CI21" s="418" t="e">
        <f>COUNTIFS(#REF!,"&gt;=45",#REF!, "&lt;=54",#REF!,"Female",#REF!,"Unknown",#REF!,"NO")</f>
        <v>#REF!</v>
      </c>
      <c r="CJ21" s="418"/>
      <c r="CK21" s="417"/>
      <c r="CL21" s="417"/>
      <c r="CM21" s="418"/>
      <c r="CN21" s="418"/>
      <c r="CO21" s="431" t="e">
        <f t="shared" si="2"/>
        <v>#REF!</v>
      </c>
      <c r="CP21" s="431"/>
      <c r="CQ21" s="432" t="e">
        <f t="shared" si="3"/>
        <v>#REF!</v>
      </c>
      <c r="CR21" s="432"/>
      <c r="CS21" s="431"/>
      <c r="CT21" s="431"/>
      <c r="CU21" s="431"/>
      <c r="CV21" s="431"/>
    </row>
    <row r="22" spans="1:100" ht="15" customHeight="1" x14ac:dyDescent="0.25">
      <c r="A22" s="433" t="s">
        <v>132</v>
      </c>
      <c r="B22" s="434"/>
      <c r="C22" s="435"/>
      <c r="D22" s="317" t="e">
        <f>COUNTIFS(#REF!,"&gt;=55",#REF!, "&lt;=64",#REF!,"Male",#REF!,"White")</f>
        <v>#REF!</v>
      </c>
      <c r="E22" s="317"/>
      <c r="F22" s="411" t="e">
        <f>COUNTIFS(#REF!,"&gt;=55",#REF!, "&lt;=64",#REF!,"Female",#REF!,"White",#REF!,"NO")</f>
        <v>#REF!</v>
      </c>
      <c r="G22" s="411"/>
      <c r="H22" s="412"/>
      <c r="I22" s="412"/>
      <c r="J22" s="411"/>
      <c r="K22" s="411"/>
      <c r="L22" s="317" t="e">
        <f>COUNTIFS(#REF!,"&gt;=55",#REF!, "&lt;=64",#REF!,"Male",#REF!,"African American /Black")</f>
        <v>#REF!</v>
      </c>
      <c r="M22" s="317"/>
      <c r="N22" s="411" t="e">
        <f>COUNTIFS(#REF!,"&gt;=55",#REF!, "&lt;=64",#REF!,"Female",#REF!,"African American /Black",#REF!,"NO")</f>
        <v>#REF!</v>
      </c>
      <c r="O22" s="411"/>
      <c r="P22" s="412"/>
      <c r="Q22" s="412"/>
      <c r="R22" s="411"/>
      <c r="S22" s="411"/>
      <c r="T22" s="412" t="e">
        <f>COUNTIFS(#REF!,"&gt;=55",#REF!, "&lt;=64",#REF!,"Male",#REF!,"Native Hawaiian / Other Pacific Islander")</f>
        <v>#REF!</v>
      </c>
      <c r="U22" s="412"/>
      <c r="V22" s="411" t="e">
        <f>COUNTIFS(#REF!,"&gt;=55",#REF!, "&lt;=64",#REF!,"Female",#REF!,"Native Hawaiian / Other Pacific Islander",#REF!,"NO")</f>
        <v>#REF!</v>
      </c>
      <c r="W22" s="411"/>
      <c r="X22" s="412"/>
      <c r="Y22" s="412"/>
      <c r="Z22" s="411"/>
      <c r="AA22" s="411"/>
      <c r="AB22" s="412" t="e">
        <f>COUNTIFS(#REF!,"&gt;=55",#REF!, "&lt;=64",#REF!,"Male",#REF!,"Asian ")</f>
        <v>#REF!</v>
      </c>
      <c r="AC22" s="412"/>
      <c r="AD22" s="411" t="e">
        <f>COUNTIFS(#REF!,"&gt;=55",#REF!, "&lt;=64",#REF!,"Female",#REF!,"Asian ",#REF!,"NO")</f>
        <v>#REF!</v>
      </c>
      <c r="AE22" s="411"/>
      <c r="AF22" s="412"/>
      <c r="AG22" s="412"/>
      <c r="AH22" s="411"/>
      <c r="AI22" s="411"/>
      <c r="AJ22" s="412" t="e">
        <f>COUNTIFS(#REF!,"&gt;=55",#REF!, "&lt;=64",#REF!,"Male",#REF!,"American Indian / Alaska Native")</f>
        <v>#REF!</v>
      </c>
      <c r="AK22" s="412"/>
      <c r="AL22" s="411" t="e">
        <f>COUNTIFS(#REF!,"&gt;=55",#REF!, "&lt;=64",#REF!,"Female",#REF!,"American Indian / Alaska Native",#REF!,"NO")</f>
        <v>#REF!</v>
      </c>
      <c r="AM22" s="411"/>
      <c r="AN22" s="412"/>
      <c r="AO22" s="412"/>
      <c r="AP22" s="411"/>
      <c r="AQ22" s="411"/>
      <c r="AR22" s="412" t="e">
        <f>COUNTIFS(#REF!,"&gt;=55",#REF!, "&lt;=64",#REF!,"Male",#REF!,"More than one race reported")</f>
        <v>#REF!</v>
      </c>
      <c r="AS22" s="412"/>
      <c r="AT22" s="411" t="e">
        <f>COUNTIFS(#REF!,"&gt;=55",#REF!, "&lt;=64",#REF!,"Female",#REF!,"More than one race reported",#REF!,"NO")</f>
        <v>#REF!</v>
      </c>
      <c r="AU22" s="411"/>
      <c r="AV22" s="412"/>
      <c r="AW22" s="412"/>
      <c r="AX22" s="411"/>
      <c r="AY22" s="411"/>
      <c r="AZ22" s="412" t="e">
        <f>COUNTIFS(#REF!,"&gt;=55",#REF!, "&lt;=64",#REF!,"Male",#REF!,"Unknown")</f>
        <v>#REF!</v>
      </c>
      <c r="BA22" s="412"/>
      <c r="BB22" s="421" t="e">
        <f>COUNTIFS(#REF!,"&gt;=55",#REF!, "&lt;=64",#REF!,"Female",#REF!,"Unknown",#REF!,"NO")</f>
        <v>#REF!</v>
      </c>
      <c r="BC22" s="421"/>
      <c r="BD22" s="412"/>
      <c r="BE22" s="412"/>
      <c r="BF22" s="411"/>
      <c r="BG22" s="411"/>
      <c r="BH22" s="423" t="e">
        <f t="shared" si="0"/>
        <v>#REF!</v>
      </c>
      <c r="BI22" s="423"/>
      <c r="BJ22" s="422" t="e">
        <f t="shared" si="1"/>
        <v>#REF!</v>
      </c>
      <c r="BK22" s="422"/>
      <c r="BL22" s="420"/>
      <c r="BM22" s="420"/>
      <c r="BN22" s="420"/>
      <c r="BO22" s="420"/>
      <c r="BP22" s="2"/>
      <c r="BQ22" s="417" t="e">
        <f>COUNTIFS(#REF!,"&gt;=55",#REF!, "&lt;=64",#REF!,"Male",#REF!,"Not Hispanic or Latino")</f>
        <v>#REF!</v>
      </c>
      <c r="BR22" s="417"/>
      <c r="BS22" s="418" t="e">
        <f>COUNTIFS(#REF!,"&gt;=55",#REF!, "&lt;=64",#REF!,"Female",#REF!,"Not Hispanic or Latino",#REF!,"NO")</f>
        <v>#REF!</v>
      </c>
      <c r="BT22" s="418"/>
      <c r="BU22" s="417"/>
      <c r="BV22" s="417"/>
      <c r="BW22" s="418"/>
      <c r="BX22" s="418"/>
      <c r="BY22" s="417" t="e">
        <f>COUNTIFS(#REF!,"&gt;=55",#REF!, "&lt;=64",#REF!,"Male",#REF!,"Hispanic-Latino ")</f>
        <v>#REF!</v>
      </c>
      <c r="BZ22" s="417"/>
      <c r="CA22" s="418" t="e">
        <f>COUNTIFS(#REF!,"&gt;=55",#REF!, "&lt;=64",#REF!,"Female",#REF!,"Hispanic-Latino ",#REF!,"NO")</f>
        <v>#REF!</v>
      </c>
      <c r="CB22" s="418"/>
      <c r="CC22" s="417"/>
      <c r="CD22" s="417"/>
      <c r="CE22" s="418"/>
      <c r="CF22" s="418"/>
      <c r="CG22" s="417" t="e">
        <f>COUNTIFS(#REF!,"&gt;=55",#REF!, "&lt;=64",#REF!,"Male",#REF!,"Unknown")</f>
        <v>#REF!</v>
      </c>
      <c r="CH22" s="417"/>
      <c r="CI22" s="418" t="e">
        <f>COUNTIFS(#REF!,"&gt;=55",#REF!, "&lt;=64",#REF!,"Female",#REF!,"Unknown",#REF!,"NO")</f>
        <v>#REF!</v>
      </c>
      <c r="CJ22" s="418"/>
      <c r="CK22" s="417"/>
      <c r="CL22" s="417"/>
      <c r="CM22" s="418"/>
      <c r="CN22" s="418"/>
      <c r="CO22" s="431" t="e">
        <f t="shared" si="2"/>
        <v>#REF!</v>
      </c>
      <c r="CP22" s="431"/>
      <c r="CQ22" s="432" t="e">
        <f t="shared" si="3"/>
        <v>#REF!</v>
      </c>
      <c r="CR22" s="432"/>
      <c r="CS22" s="431"/>
      <c r="CT22" s="431"/>
      <c r="CU22" s="431"/>
      <c r="CV22" s="431"/>
    </row>
    <row r="23" spans="1:100" ht="15" customHeight="1" x14ac:dyDescent="0.25">
      <c r="A23" s="433" t="s">
        <v>133</v>
      </c>
      <c r="B23" s="434"/>
      <c r="C23" s="435"/>
      <c r="D23" s="317" t="e">
        <f>COUNTIFS(#REF!,"&gt;=65",#REF!, "&lt;=74",#REF!,"Male",#REF!,"White")</f>
        <v>#REF!</v>
      </c>
      <c r="E23" s="317"/>
      <c r="F23" s="411" t="e">
        <f>COUNTIFS(#REF!,"&gt;=65",#REF!, "&lt;=74",#REF!,"Female",#REF!,"White",#REF!,"NO")</f>
        <v>#REF!</v>
      </c>
      <c r="G23" s="411"/>
      <c r="H23" s="412"/>
      <c r="I23" s="412"/>
      <c r="J23" s="411"/>
      <c r="K23" s="411"/>
      <c r="L23" s="317" t="e">
        <f>COUNTIFS(#REF!,"&gt;=65",#REF!, "&lt;=74",#REF!,"Male",#REF!,"African American /Black")</f>
        <v>#REF!</v>
      </c>
      <c r="M23" s="317"/>
      <c r="N23" s="411" t="e">
        <f>COUNTIFS(#REF!,"&gt;=65",#REF!, "&lt;=74",#REF!,"Female",#REF!,"African American /Black",#REF!,"NO")</f>
        <v>#REF!</v>
      </c>
      <c r="O23" s="411"/>
      <c r="P23" s="412"/>
      <c r="Q23" s="412"/>
      <c r="R23" s="411"/>
      <c r="S23" s="411"/>
      <c r="T23" s="412" t="e">
        <f>COUNTIFS(#REF!,"&gt;=65",#REF!, "&lt;=74",#REF!,"Male",#REF!,"Native Hawaiian / Other Pacific Islander")</f>
        <v>#REF!</v>
      </c>
      <c r="U23" s="412"/>
      <c r="V23" s="411" t="e">
        <f>COUNTIFS(#REF!,"&gt;=65",#REF!, "&lt;=74",#REF!,"Female",#REF!,"Native Hawaiian / Other Pacific Islander",#REF!,"NO")</f>
        <v>#REF!</v>
      </c>
      <c r="W23" s="411"/>
      <c r="X23" s="412"/>
      <c r="Y23" s="412"/>
      <c r="Z23" s="411"/>
      <c r="AA23" s="411"/>
      <c r="AB23" s="412" t="e">
        <f>COUNTIFS(#REF!,"&gt;=65",#REF!, "&lt;=74",#REF!,"Male",#REF!,"Asian ")</f>
        <v>#REF!</v>
      </c>
      <c r="AC23" s="412"/>
      <c r="AD23" s="411" t="e">
        <f>COUNTIFS(#REF!,"&gt;=65",#REF!, "&lt;=74",#REF!,"Female",#REF!,"Asian ",#REF!,"NO")</f>
        <v>#REF!</v>
      </c>
      <c r="AE23" s="411"/>
      <c r="AF23" s="412"/>
      <c r="AG23" s="412"/>
      <c r="AH23" s="411"/>
      <c r="AI23" s="411"/>
      <c r="AJ23" s="412" t="e">
        <f>COUNTIFS(#REF!,"&gt;=65",#REF!, "&lt;=74",#REF!,"Male",#REF!,"American Indian / Alaska Native")</f>
        <v>#REF!</v>
      </c>
      <c r="AK23" s="412"/>
      <c r="AL23" s="411" t="e">
        <f>COUNTIFS(#REF!,"&gt;=65",#REF!, "&lt;=74",#REF!,"Female",#REF!,"American Indian / Alaska Native",#REF!,"NO")</f>
        <v>#REF!</v>
      </c>
      <c r="AM23" s="411"/>
      <c r="AN23" s="412"/>
      <c r="AO23" s="412"/>
      <c r="AP23" s="411"/>
      <c r="AQ23" s="411"/>
      <c r="AR23" s="412" t="e">
        <f>COUNTIFS(#REF!,"&gt;=65",#REF!, "&lt;=74",#REF!,"Male",#REF!,"More than one race reported")</f>
        <v>#REF!</v>
      </c>
      <c r="AS23" s="412"/>
      <c r="AT23" s="411" t="e">
        <f>COUNTIFS(#REF!,"&gt;=65",#REF!, "&lt;=74",#REF!,"Female",#REF!,"More than one race reported",#REF!,"NO")</f>
        <v>#REF!</v>
      </c>
      <c r="AU23" s="411"/>
      <c r="AV23" s="412"/>
      <c r="AW23" s="412"/>
      <c r="AX23" s="411"/>
      <c r="AY23" s="411"/>
      <c r="AZ23" s="412" t="e">
        <f>COUNTIFS(#REF!,"&gt;=65",#REF!, "&lt;=74",#REF!,"Male",#REF!,"Unknown")</f>
        <v>#REF!</v>
      </c>
      <c r="BA23" s="412"/>
      <c r="BB23" s="421" t="e">
        <f>COUNTIFS(#REF!,"&gt;=65",#REF!, "&lt;=74",#REF!,"Female",#REF!,"Unknown",#REF!,"NO")</f>
        <v>#REF!</v>
      </c>
      <c r="BC23" s="421"/>
      <c r="BD23" s="412"/>
      <c r="BE23" s="412"/>
      <c r="BF23" s="411"/>
      <c r="BG23" s="411"/>
      <c r="BH23" s="423" t="e">
        <f t="shared" si="0"/>
        <v>#REF!</v>
      </c>
      <c r="BI23" s="423"/>
      <c r="BJ23" s="422" t="e">
        <f t="shared" si="1"/>
        <v>#REF!</v>
      </c>
      <c r="BK23" s="422"/>
      <c r="BL23" s="420"/>
      <c r="BM23" s="420"/>
      <c r="BN23" s="420"/>
      <c r="BO23" s="420"/>
      <c r="BP23" s="2"/>
      <c r="BQ23" s="417" t="e">
        <f>COUNTIFS(#REF!,"&gt;=65",#REF!, "&lt;=74",#REF!,"Male",#REF!,"Not Hispanic or Latino")</f>
        <v>#REF!</v>
      </c>
      <c r="BR23" s="417"/>
      <c r="BS23" s="418" t="e">
        <f>COUNTIFS(#REF!,"&gt;=65",#REF!, "&lt;=74",#REF!,"Female",#REF!,"Not Hispanic or Latino",#REF!,"NO")</f>
        <v>#REF!</v>
      </c>
      <c r="BT23" s="418"/>
      <c r="BU23" s="417"/>
      <c r="BV23" s="417"/>
      <c r="BW23" s="418"/>
      <c r="BX23" s="418"/>
      <c r="BY23" s="417" t="e">
        <f>COUNTIFS(#REF!,"&gt;=65",#REF!, "&lt;=74",#REF!,"Male",#REF!,"Hispanic-Latino ")</f>
        <v>#REF!</v>
      </c>
      <c r="BZ23" s="417"/>
      <c r="CA23" s="418" t="e">
        <f>COUNTIFS(#REF!,"&gt;=65",#REF!, "&lt;=74",#REF!,"Female",#REF!,"Hispanic-Latino ",#REF!,"NO")</f>
        <v>#REF!</v>
      </c>
      <c r="CB23" s="418"/>
      <c r="CC23" s="417"/>
      <c r="CD23" s="417"/>
      <c r="CE23" s="418"/>
      <c r="CF23" s="418"/>
      <c r="CG23" s="417" t="e">
        <f>COUNTIFS(#REF!,"&gt;=65",#REF!, "&lt;=74",#REF!,"Male",#REF!,"Unknown")</f>
        <v>#REF!</v>
      </c>
      <c r="CH23" s="417"/>
      <c r="CI23" s="418" t="e">
        <f>COUNTIFS(#REF!,"&gt;=65",#REF!, "&lt;=74",#REF!,"Female",#REF!,"Unknown",#REF!,"NO")</f>
        <v>#REF!</v>
      </c>
      <c r="CJ23" s="418"/>
      <c r="CK23" s="417"/>
      <c r="CL23" s="417"/>
      <c r="CM23" s="418"/>
      <c r="CN23" s="418"/>
      <c r="CO23" s="431" t="e">
        <f t="shared" si="2"/>
        <v>#REF!</v>
      </c>
      <c r="CP23" s="431"/>
      <c r="CQ23" s="432" t="e">
        <f t="shared" si="3"/>
        <v>#REF!</v>
      </c>
      <c r="CR23" s="432"/>
      <c r="CS23" s="431"/>
      <c r="CT23" s="431"/>
      <c r="CU23" s="431"/>
      <c r="CV23" s="431"/>
    </row>
    <row r="24" spans="1:100" ht="15" customHeight="1" x14ac:dyDescent="0.25">
      <c r="A24" s="433" t="s">
        <v>134</v>
      </c>
      <c r="B24" s="434"/>
      <c r="C24" s="435"/>
      <c r="D24" s="317" t="e">
        <f>COUNTIFS(#REF!,"&gt;=75",#REF!, "&lt;=150",#REF!,"Male",#REF!,"White")</f>
        <v>#REF!</v>
      </c>
      <c r="E24" s="317"/>
      <c r="F24" s="411" t="e">
        <f>COUNTIFS(#REF!,"&gt;=75",#REF!, "&lt;=150",#REF!,"Female",#REF!,"White",#REF!,"NO")</f>
        <v>#REF!</v>
      </c>
      <c r="G24" s="411"/>
      <c r="H24" s="412"/>
      <c r="I24" s="412"/>
      <c r="J24" s="411"/>
      <c r="K24" s="411"/>
      <c r="L24" s="317" t="e">
        <f>COUNTIFS(#REF!,"&gt;=75",#REF!, "&lt;=150",#REF!,"Male",#REF!,"African American /Black")</f>
        <v>#REF!</v>
      </c>
      <c r="M24" s="317"/>
      <c r="N24" s="411" t="e">
        <f>COUNTIFS(#REF!,"&gt;=75",#REF!, "&lt;=150",#REF!,"Female",#REF!,"African American /Black",#REF!,"NO")</f>
        <v>#REF!</v>
      </c>
      <c r="O24" s="411"/>
      <c r="P24" s="412"/>
      <c r="Q24" s="412"/>
      <c r="R24" s="411"/>
      <c r="S24" s="411"/>
      <c r="T24" s="412" t="e">
        <f>COUNTIFS(#REF!,"&gt;=75",#REF!, "&lt;=150",#REF!,"Male",#REF!,"Native Hawaiian / Other Pacific Islander")</f>
        <v>#REF!</v>
      </c>
      <c r="U24" s="412"/>
      <c r="V24" s="411" t="e">
        <f>COUNTIFS(#REF!,"&gt;=75",#REF!, "&lt;=150",#REF!,"Female",#REF!,"Native Hawaiian / Other Pacific Islander",#REF!,"NO")</f>
        <v>#REF!</v>
      </c>
      <c r="W24" s="411"/>
      <c r="X24" s="412"/>
      <c r="Y24" s="412"/>
      <c r="Z24" s="411"/>
      <c r="AA24" s="411"/>
      <c r="AB24" s="412" t="e">
        <f>COUNTIFS(#REF!,"&gt;=75",#REF!, "&lt;=150",#REF!,"Male",#REF!,"Asian ")</f>
        <v>#REF!</v>
      </c>
      <c r="AC24" s="412"/>
      <c r="AD24" s="411" t="e">
        <f>COUNTIFS(#REF!,"&gt;=75",#REF!,"&lt;=150",#REF!,"Female",#REF!,"Asian ",#REF!,"NO")</f>
        <v>#REF!</v>
      </c>
      <c r="AE24" s="411"/>
      <c r="AF24" s="412"/>
      <c r="AG24" s="412"/>
      <c r="AH24" s="411"/>
      <c r="AI24" s="411"/>
      <c r="AJ24" s="412" t="e">
        <f>COUNTIFS(#REF!,"&gt;=75",#REF!, "&lt;=150",#REF!,"Male",#REF!,"American Indian / Alaska Native")</f>
        <v>#REF!</v>
      </c>
      <c r="AK24" s="412"/>
      <c r="AL24" s="411" t="e">
        <f>COUNTIFS(#REF!,"&gt;=75",#REF!, "&lt;=150",#REF!,"Female",#REF!,"American Indian / Alaska Native",#REF!,"NO")</f>
        <v>#REF!</v>
      </c>
      <c r="AM24" s="411"/>
      <c r="AN24" s="412"/>
      <c r="AO24" s="412"/>
      <c r="AP24" s="411"/>
      <c r="AQ24" s="411"/>
      <c r="AR24" s="412" t="e">
        <f>COUNTIFS(#REF!,"&gt;=75",#REF!, "&lt;=150",#REF!,"Male",#REF!,"More than one race reported")</f>
        <v>#REF!</v>
      </c>
      <c r="AS24" s="412"/>
      <c r="AT24" s="411" t="e">
        <f>COUNTIFS(#REF!,"&gt;=75",#REF!, "&lt;=150",#REF!,"Female",#REF!,"More than one race reported",#REF!,"NO")</f>
        <v>#REF!</v>
      </c>
      <c r="AU24" s="411"/>
      <c r="AV24" s="412"/>
      <c r="AW24" s="412"/>
      <c r="AX24" s="411"/>
      <c r="AY24" s="411"/>
      <c r="AZ24" s="412" t="e">
        <f>COUNTIFS(#REF!,"&gt;=75",#REF!, "&lt;=150",#REF!,"Male",#REF!,"Unknown")</f>
        <v>#REF!</v>
      </c>
      <c r="BA24" s="412"/>
      <c r="BB24" s="421" t="e">
        <f>COUNTIFS(#REF!,"&gt;=75",#REF!, "&lt;=150",#REF!,"Female",#REF!,"Unknown",#REF!,"NO")</f>
        <v>#REF!</v>
      </c>
      <c r="BC24" s="421"/>
      <c r="BD24" s="412"/>
      <c r="BE24" s="412"/>
      <c r="BF24" s="411"/>
      <c r="BG24" s="411"/>
      <c r="BH24" s="423" t="e">
        <f t="shared" si="0"/>
        <v>#REF!</v>
      </c>
      <c r="BI24" s="423"/>
      <c r="BJ24" s="422" t="e">
        <f t="shared" si="1"/>
        <v>#REF!</v>
      </c>
      <c r="BK24" s="422"/>
      <c r="BL24" s="420"/>
      <c r="BM24" s="420"/>
      <c r="BN24" s="420"/>
      <c r="BO24" s="420"/>
      <c r="BP24" s="2"/>
      <c r="BQ24" s="417" t="e">
        <f>COUNTIFS(#REF!,"&gt;=75",#REF!, "&lt;=150",#REF!,"Male",#REF!,"Not Hispanic or Latino")</f>
        <v>#REF!</v>
      </c>
      <c r="BR24" s="417"/>
      <c r="BS24" s="418" t="e">
        <f>COUNTIFS(#REF!,"&gt;=75",#REF!, "&lt;=150",#REF!,"Female",#REF!,"Not Hispanic or Latino",#REF!,"NO")</f>
        <v>#REF!</v>
      </c>
      <c r="BT24" s="418"/>
      <c r="BU24" s="417"/>
      <c r="BV24" s="417"/>
      <c r="BW24" s="418"/>
      <c r="BX24" s="418"/>
      <c r="BY24" s="417" t="e">
        <f>COUNTIFS(#REF!,"&gt;=75",#REF!, "&lt;=150",#REF!,"Male",#REF!,"Hispanic-Latino ")</f>
        <v>#REF!</v>
      </c>
      <c r="BZ24" s="417"/>
      <c r="CA24" s="418" t="e">
        <f>COUNTIFS(#REF!,"&gt;=75",#REF!, "&lt;=150",#REF!,"Female",#REF!,"Hispanic-Latino ",#REF!,"NO")</f>
        <v>#REF!</v>
      </c>
      <c r="CB24" s="418"/>
      <c r="CC24" s="417"/>
      <c r="CD24" s="417"/>
      <c r="CE24" s="418"/>
      <c r="CF24" s="418"/>
      <c r="CG24" s="417" t="e">
        <f>COUNTIFS(#REF!,"&gt;=75",#REF!, "&lt;=150",#REF!,"Male",#REF!,"Unknown")</f>
        <v>#REF!</v>
      </c>
      <c r="CH24" s="417"/>
      <c r="CI24" s="418" t="e">
        <f>COUNTIFS(#REF!,"&gt;=75",#REF!, "&lt;=150",#REF!,"Female",#REF!,"Unknown",#REF!,"NO")</f>
        <v>#REF!</v>
      </c>
      <c r="CJ24" s="418"/>
      <c r="CK24" s="417"/>
      <c r="CL24" s="417"/>
      <c r="CM24" s="418"/>
      <c r="CN24" s="418"/>
      <c r="CO24" s="431" t="e">
        <f t="shared" si="2"/>
        <v>#REF!</v>
      </c>
      <c r="CP24" s="431"/>
      <c r="CQ24" s="432" t="e">
        <f t="shared" si="3"/>
        <v>#REF!</v>
      </c>
      <c r="CR24" s="432"/>
      <c r="CS24" s="431"/>
      <c r="CT24" s="431"/>
      <c r="CU24" s="431"/>
      <c r="CV24" s="431"/>
    </row>
    <row r="25" spans="1:100" ht="18.75" customHeight="1" x14ac:dyDescent="0.25">
      <c r="A25" s="436" t="s">
        <v>136</v>
      </c>
      <c r="B25" s="437"/>
      <c r="C25" s="438"/>
      <c r="D25" s="420" t="e">
        <f>SUM(D15:D24)</f>
        <v>#REF!</v>
      </c>
      <c r="E25" s="420"/>
      <c r="F25" s="422" t="e">
        <f>SUM(F15:F24)</f>
        <v>#REF!</v>
      </c>
      <c r="G25" s="422"/>
      <c r="H25" s="420"/>
      <c r="I25" s="420"/>
      <c r="J25" s="420"/>
      <c r="K25" s="420"/>
      <c r="L25" s="420" t="e">
        <f>SUM(L15:L24)</f>
        <v>#REF!</v>
      </c>
      <c r="M25" s="420"/>
      <c r="N25" s="422" t="e">
        <f>SUM(N15:N24)</f>
        <v>#REF!</v>
      </c>
      <c r="O25" s="422"/>
      <c r="P25" s="420"/>
      <c r="Q25" s="420"/>
      <c r="R25" s="420"/>
      <c r="S25" s="420"/>
      <c r="T25" s="420" t="e">
        <f>SUM(T15:T24)</f>
        <v>#REF!</v>
      </c>
      <c r="U25" s="420"/>
      <c r="V25" s="422" t="e">
        <f>SUM(V15:V24)</f>
        <v>#REF!</v>
      </c>
      <c r="W25" s="422"/>
      <c r="X25" s="420"/>
      <c r="Y25" s="420"/>
      <c r="Z25" s="420"/>
      <c r="AA25" s="420"/>
      <c r="AB25" s="420" t="e">
        <f>SUM(AB15:AB24)</f>
        <v>#REF!</v>
      </c>
      <c r="AC25" s="420"/>
      <c r="AD25" s="422" t="e">
        <f>SUM(AD15:AD24)</f>
        <v>#REF!</v>
      </c>
      <c r="AE25" s="422"/>
      <c r="AF25" s="420"/>
      <c r="AG25" s="420"/>
      <c r="AH25" s="420"/>
      <c r="AI25" s="420"/>
      <c r="AJ25" s="420" t="e">
        <f>SUM(AJ15:AJ24)</f>
        <v>#REF!</v>
      </c>
      <c r="AK25" s="420"/>
      <c r="AL25" s="422" t="e">
        <f>SUM(AL15:AL24)</f>
        <v>#REF!</v>
      </c>
      <c r="AM25" s="422"/>
      <c r="AN25" s="420"/>
      <c r="AO25" s="420"/>
      <c r="AP25" s="420"/>
      <c r="AQ25" s="420"/>
      <c r="AR25" s="420" t="e">
        <f>SUM(AR15:AR24)</f>
        <v>#REF!</v>
      </c>
      <c r="AS25" s="420"/>
      <c r="AT25" s="422" t="e">
        <f>SUM(AT15:AT24)</f>
        <v>#REF!</v>
      </c>
      <c r="AU25" s="422"/>
      <c r="AV25" s="420"/>
      <c r="AW25" s="420"/>
      <c r="AX25" s="420"/>
      <c r="AY25" s="420"/>
      <c r="AZ25" s="420" t="e">
        <f>SUM(AZ15:AZ24)</f>
        <v>#REF!</v>
      </c>
      <c r="BA25" s="420"/>
      <c r="BB25" s="422" t="e">
        <f>SUM(BB15:BB24)</f>
        <v>#REF!</v>
      </c>
      <c r="BC25" s="422"/>
      <c r="BD25" s="420"/>
      <c r="BE25" s="420"/>
      <c r="BF25" s="420"/>
      <c r="BG25" s="420"/>
      <c r="BH25" s="423" t="e">
        <f>SUM(BH15:BH24)</f>
        <v>#REF!</v>
      </c>
      <c r="BI25" s="423"/>
      <c r="BJ25" s="422" t="e">
        <f>SUM(BJ15:BJ24)</f>
        <v>#REF!</v>
      </c>
      <c r="BK25" s="422"/>
      <c r="BL25" s="420"/>
      <c r="BM25" s="420"/>
      <c r="BN25" s="420"/>
      <c r="BO25" s="420"/>
      <c r="BP25" s="2"/>
      <c r="BQ25" s="428" t="e">
        <f>SUM(BQ15:BQ24)</f>
        <v>#REF!</v>
      </c>
      <c r="BR25" s="428"/>
      <c r="BS25" s="426" t="e">
        <f>SUM(BS15:BS24)</f>
        <v>#REF!</v>
      </c>
      <c r="BT25" s="426"/>
      <c r="BU25" s="427"/>
      <c r="BV25" s="427"/>
      <c r="BW25" s="427"/>
      <c r="BX25" s="427"/>
      <c r="BY25" s="428" t="e">
        <f>SUM(BY15:BY24)</f>
        <v>#REF!</v>
      </c>
      <c r="BZ25" s="428"/>
      <c r="CA25" s="426" t="e">
        <f>SUM(CA15:CA24)</f>
        <v>#REF!</v>
      </c>
      <c r="CB25" s="426"/>
      <c r="CC25" s="427"/>
      <c r="CD25" s="427"/>
      <c r="CE25" s="427"/>
      <c r="CF25" s="427"/>
      <c r="CG25" s="428" t="e">
        <f>SUM(CG15:CG24)</f>
        <v>#REF!</v>
      </c>
      <c r="CH25" s="428"/>
      <c r="CI25" s="426" t="e">
        <f>SUM(CI15:CI24)</f>
        <v>#REF!</v>
      </c>
      <c r="CJ25" s="426"/>
      <c r="CK25" s="427"/>
      <c r="CL25" s="427"/>
      <c r="CM25" s="427"/>
      <c r="CN25" s="427"/>
      <c r="CO25" s="428" t="e">
        <f>SUM(CO15:CO24)</f>
        <v>#REF!</v>
      </c>
      <c r="CP25" s="428"/>
      <c r="CQ25" s="426" t="e">
        <f>SUM(CQ15:CQ24)</f>
        <v>#REF!</v>
      </c>
      <c r="CR25" s="426"/>
      <c r="CS25" s="427"/>
      <c r="CT25" s="427"/>
      <c r="CU25" s="427"/>
      <c r="CV25" s="427"/>
    </row>
    <row r="26" spans="1:100" ht="18.75" x14ac:dyDescent="0.3">
      <c r="A26" s="447" t="s">
        <v>379</v>
      </c>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8" t="e">
        <f>BH25+BJ25</f>
        <v>#REF!</v>
      </c>
      <c r="BI26" s="448"/>
      <c r="BJ26" s="448"/>
      <c r="BK26" s="448"/>
      <c r="BL26" s="448"/>
      <c r="BM26" s="448"/>
      <c r="BN26" s="448"/>
      <c r="BO26" s="448"/>
      <c r="BP26" s="16"/>
      <c r="BQ26" s="450" t="s">
        <v>380</v>
      </c>
      <c r="BR26" s="450"/>
      <c r="BS26" s="450"/>
      <c r="BT26" s="450"/>
      <c r="BU26" s="450"/>
      <c r="BV26" s="450"/>
      <c r="BW26" s="450"/>
      <c r="BX26" s="450"/>
      <c r="BY26" s="450"/>
      <c r="BZ26" s="450"/>
      <c r="CA26" s="450"/>
      <c r="CB26" s="450"/>
      <c r="CC26" s="450"/>
      <c r="CD26" s="450"/>
      <c r="CE26" s="450"/>
      <c r="CF26" s="450"/>
      <c r="CG26" s="450"/>
      <c r="CH26" s="450"/>
      <c r="CI26" s="450"/>
      <c r="CJ26" s="450"/>
      <c r="CK26" s="450"/>
      <c r="CL26" s="450"/>
      <c r="CM26" s="450"/>
      <c r="CN26" s="450"/>
      <c r="CO26" s="449" t="e">
        <f>CO25+CQ25</f>
        <v>#REF!</v>
      </c>
      <c r="CP26" s="449"/>
      <c r="CQ26" s="449"/>
      <c r="CR26" s="449"/>
      <c r="CS26" s="449"/>
      <c r="CT26" s="449"/>
      <c r="CU26" s="449"/>
      <c r="CV26" s="449"/>
    </row>
    <row r="27" spans="1:100" ht="18.75" x14ac:dyDescent="0.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30"/>
      <c r="BI27" s="30"/>
      <c r="BJ27" s="30"/>
      <c r="BK27" s="30"/>
      <c r="BL27" s="30"/>
      <c r="BM27" s="30"/>
      <c r="BN27" s="30"/>
      <c r="BO27" s="30"/>
      <c r="BP27" s="16"/>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30"/>
      <c r="CP27" s="30"/>
      <c r="CQ27" s="30"/>
      <c r="CR27" s="30"/>
      <c r="CS27" s="30"/>
      <c r="CT27" s="30"/>
      <c r="CU27" s="30"/>
      <c r="CV27" s="30"/>
    </row>
    <row r="28" spans="1:100" ht="30" customHeight="1" x14ac:dyDescent="0.25">
      <c r="A28" s="458" t="s">
        <v>384</v>
      </c>
      <c r="B28" s="459"/>
      <c r="C28" s="460"/>
      <c r="D28" s="455" t="s">
        <v>25</v>
      </c>
      <c r="E28" s="455"/>
      <c r="F28" s="455"/>
      <c r="G28" s="455"/>
      <c r="H28" s="455"/>
      <c r="I28" s="455"/>
      <c r="J28" s="455"/>
      <c r="K28" s="455"/>
      <c r="L28" s="455" t="s">
        <v>135</v>
      </c>
      <c r="M28" s="455"/>
      <c r="N28" s="455"/>
      <c r="O28" s="455"/>
      <c r="P28" s="455"/>
      <c r="Q28" s="455"/>
      <c r="R28" s="455"/>
      <c r="S28" s="455"/>
      <c r="T28" s="455" t="s">
        <v>27</v>
      </c>
      <c r="U28" s="455"/>
      <c r="V28" s="455"/>
      <c r="W28" s="455"/>
      <c r="X28" s="455"/>
      <c r="Y28" s="455"/>
      <c r="Z28" s="455"/>
      <c r="AA28" s="455"/>
      <c r="AB28" s="455" t="s">
        <v>24</v>
      </c>
      <c r="AC28" s="455"/>
      <c r="AD28" s="455"/>
      <c r="AE28" s="455"/>
      <c r="AF28" s="455"/>
      <c r="AG28" s="455"/>
      <c r="AH28" s="455"/>
      <c r="AI28" s="455"/>
      <c r="AJ28" s="455" t="s">
        <v>281</v>
      </c>
      <c r="AK28" s="455"/>
      <c r="AL28" s="455"/>
      <c r="AM28" s="455"/>
      <c r="AN28" s="455"/>
      <c r="AO28" s="455"/>
      <c r="AP28" s="455"/>
      <c r="AQ28" s="455"/>
      <c r="AR28" s="455" t="s">
        <v>282</v>
      </c>
      <c r="AS28" s="455"/>
      <c r="AT28" s="455"/>
      <c r="AU28" s="455"/>
      <c r="AV28" s="455"/>
      <c r="AW28" s="455"/>
      <c r="AX28" s="455"/>
      <c r="AY28" s="455"/>
      <c r="AZ28" s="455" t="s">
        <v>122</v>
      </c>
      <c r="BA28" s="455"/>
      <c r="BB28" s="455"/>
      <c r="BC28" s="455"/>
      <c r="BD28" s="455"/>
      <c r="BE28" s="455"/>
      <c r="BF28" s="455"/>
      <c r="BG28" s="455"/>
      <c r="BH28" s="456" t="s">
        <v>123</v>
      </c>
      <c r="BI28" s="456"/>
      <c r="BJ28" s="456"/>
      <c r="BK28" s="456"/>
      <c r="BL28" s="456"/>
      <c r="BM28" s="456"/>
      <c r="BN28" s="456"/>
      <c r="BO28" s="456"/>
      <c r="BP28" s="2"/>
      <c r="BQ28" s="484" t="s">
        <v>29</v>
      </c>
      <c r="BR28" s="484"/>
      <c r="BS28" s="484"/>
      <c r="BT28" s="484"/>
      <c r="BU28" s="484"/>
      <c r="BV28" s="484"/>
      <c r="BW28" s="484"/>
      <c r="BX28" s="484"/>
      <c r="BY28" s="484" t="s">
        <v>124</v>
      </c>
      <c r="BZ28" s="484"/>
      <c r="CA28" s="484"/>
      <c r="CB28" s="484"/>
      <c r="CC28" s="484"/>
      <c r="CD28" s="484"/>
      <c r="CE28" s="484"/>
      <c r="CF28" s="484"/>
      <c r="CG28" s="484" t="s">
        <v>122</v>
      </c>
      <c r="CH28" s="484"/>
      <c r="CI28" s="484"/>
      <c r="CJ28" s="484"/>
      <c r="CK28" s="484"/>
      <c r="CL28" s="484"/>
      <c r="CM28" s="484"/>
      <c r="CN28" s="484"/>
      <c r="CO28" s="485" t="s">
        <v>123</v>
      </c>
      <c r="CP28" s="485"/>
      <c r="CQ28" s="485"/>
      <c r="CR28" s="485"/>
      <c r="CS28" s="485"/>
      <c r="CT28" s="485"/>
      <c r="CU28" s="485"/>
      <c r="CV28" s="485"/>
    </row>
    <row r="29" spans="1:100" x14ac:dyDescent="0.25">
      <c r="A29" s="461"/>
      <c r="B29" s="462"/>
      <c r="C29" s="463"/>
      <c r="D29" s="457" t="s">
        <v>31</v>
      </c>
      <c r="E29" s="457"/>
      <c r="F29" s="416" t="s">
        <v>32</v>
      </c>
      <c r="G29" s="416"/>
      <c r="H29" s="415"/>
      <c r="I29" s="415"/>
      <c r="J29" s="416"/>
      <c r="K29" s="416"/>
      <c r="L29" s="457"/>
      <c r="M29" s="457"/>
      <c r="N29" s="416" t="s">
        <v>32</v>
      </c>
      <c r="O29" s="416"/>
      <c r="P29" s="415"/>
      <c r="Q29" s="415"/>
      <c r="R29" s="416"/>
      <c r="S29" s="416"/>
      <c r="T29" s="457" t="s">
        <v>31</v>
      </c>
      <c r="U29" s="457"/>
      <c r="V29" s="416" t="s">
        <v>32</v>
      </c>
      <c r="W29" s="416"/>
      <c r="X29" s="415"/>
      <c r="Y29" s="415"/>
      <c r="Z29" s="416"/>
      <c r="AA29" s="416"/>
      <c r="AB29" s="457"/>
      <c r="AC29" s="457"/>
      <c r="AD29" s="416" t="s">
        <v>32</v>
      </c>
      <c r="AE29" s="416"/>
      <c r="AF29" s="415"/>
      <c r="AG29" s="415"/>
      <c r="AH29" s="416"/>
      <c r="AI29" s="416"/>
      <c r="AJ29" s="457"/>
      <c r="AK29" s="457"/>
      <c r="AL29" s="416" t="s">
        <v>32</v>
      </c>
      <c r="AM29" s="416"/>
      <c r="AN29" s="415"/>
      <c r="AO29" s="415"/>
      <c r="AP29" s="416"/>
      <c r="AQ29" s="416"/>
      <c r="AR29" s="457"/>
      <c r="AS29" s="457"/>
      <c r="AT29" s="416" t="s">
        <v>32</v>
      </c>
      <c r="AU29" s="416"/>
      <c r="AV29" s="415"/>
      <c r="AW29" s="415"/>
      <c r="AX29" s="416"/>
      <c r="AY29" s="416"/>
      <c r="AZ29" s="457"/>
      <c r="BA29" s="457"/>
      <c r="BB29" s="416" t="s">
        <v>32</v>
      </c>
      <c r="BC29" s="416"/>
      <c r="BD29" s="415"/>
      <c r="BE29" s="415"/>
      <c r="BF29" s="416"/>
      <c r="BG29" s="416"/>
      <c r="BH29" s="486"/>
      <c r="BI29" s="486"/>
      <c r="BJ29" s="425" t="s">
        <v>32</v>
      </c>
      <c r="BK29" s="425"/>
      <c r="BL29" s="425"/>
      <c r="BM29" s="425"/>
      <c r="BN29" s="425"/>
      <c r="BO29" s="425"/>
      <c r="BP29" s="9"/>
      <c r="BQ29" s="457"/>
      <c r="BR29" s="457"/>
      <c r="BS29" s="414" t="s">
        <v>32</v>
      </c>
      <c r="BT29" s="414"/>
      <c r="BU29" s="413"/>
      <c r="BV29" s="413"/>
      <c r="BW29" s="414"/>
      <c r="BX29" s="414"/>
      <c r="BY29" s="457"/>
      <c r="BZ29" s="457"/>
      <c r="CA29" s="414" t="s">
        <v>32</v>
      </c>
      <c r="CB29" s="414"/>
      <c r="CC29" s="413"/>
      <c r="CD29" s="413"/>
      <c r="CE29" s="414"/>
      <c r="CF29" s="414"/>
      <c r="CG29" s="457"/>
      <c r="CH29" s="457"/>
      <c r="CI29" s="414" t="s">
        <v>32</v>
      </c>
      <c r="CJ29" s="414"/>
      <c r="CK29" s="413"/>
      <c r="CL29" s="413"/>
      <c r="CM29" s="414"/>
      <c r="CN29" s="414"/>
      <c r="CO29" s="486"/>
      <c r="CP29" s="486"/>
      <c r="CQ29" s="445" t="s">
        <v>32</v>
      </c>
      <c r="CR29" s="445"/>
      <c r="CS29" s="445"/>
      <c r="CT29" s="445"/>
      <c r="CU29" s="445"/>
      <c r="CV29" s="445"/>
    </row>
    <row r="30" spans="1:100" x14ac:dyDescent="0.25">
      <c r="A30" s="433" t="s">
        <v>125</v>
      </c>
      <c r="B30" s="434"/>
      <c r="C30" s="435"/>
      <c r="D30" s="487"/>
      <c r="E30" s="487"/>
      <c r="F30" s="411" t="e">
        <f>COUNTIFS(#REF!,"&gt;=0",#REF!, "&lt;=12",#REF!,"Female",#REF!,"White",#REF!,"YES")</f>
        <v>#REF!</v>
      </c>
      <c r="G30" s="411"/>
      <c r="H30" s="412"/>
      <c r="I30" s="412"/>
      <c r="J30" s="411"/>
      <c r="K30" s="411"/>
      <c r="L30" s="487"/>
      <c r="M30" s="487"/>
      <c r="N30" s="411" t="e">
        <f>COUNTIFS(#REF!,"&gt;=0",#REF!, "&lt;=12",#REF!,"Female",#REF!,"African American /Black",#REF!,"YES")</f>
        <v>#REF!</v>
      </c>
      <c r="O30" s="411"/>
      <c r="P30" s="412"/>
      <c r="Q30" s="412"/>
      <c r="R30" s="411"/>
      <c r="S30" s="411"/>
      <c r="T30" s="464"/>
      <c r="U30" s="464"/>
      <c r="V30" s="411" t="e">
        <f>COUNTIFS(#REF!,"&gt;=0",#REF!, "&lt;=12",#REF!,"Female",#REF!,"Native Hawaiian / Other Pacific Islander",#REF!,"YES")</f>
        <v>#REF!</v>
      </c>
      <c r="W30" s="411"/>
      <c r="X30" s="412"/>
      <c r="Y30" s="412"/>
      <c r="Z30" s="411"/>
      <c r="AA30" s="411"/>
      <c r="AB30" s="464"/>
      <c r="AC30" s="464"/>
      <c r="AD30" s="411" t="e">
        <f>COUNTIFS(#REF!,"&gt;=0",#REF!, "&lt;=12",#REF!,"Female",#REF!,"Asian ",#REF!,"YES")</f>
        <v>#REF!</v>
      </c>
      <c r="AE30" s="411"/>
      <c r="AF30" s="412"/>
      <c r="AG30" s="412"/>
      <c r="AH30" s="411"/>
      <c r="AI30" s="411"/>
      <c r="AJ30" s="464"/>
      <c r="AK30" s="464"/>
      <c r="AL30" s="411" t="e">
        <f>COUNTIFS(#REF!,"&gt;=0",#REF!, "&lt;=12",#REF!,"Female",#REF!,"American Indian / Alaska Native",#REF!,"YES")</f>
        <v>#REF!</v>
      </c>
      <c r="AM30" s="411"/>
      <c r="AN30" s="412"/>
      <c r="AO30" s="412"/>
      <c r="AP30" s="411"/>
      <c r="AQ30" s="411"/>
      <c r="AR30" s="464"/>
      <c r="AS30" s="464"/>
      <c r="AT30" s="411" t="e">
        <f>COUNTIFS(#REF!,"&gt;=0",#REF!, "&lt;=12",#REF!,"Female",#REF!,"More than one race reported",#REF!,"YES")</f>
        <v>#REF!</v>
      </c>
      <c r="AU30" s="411"/>
      <c r="AV30" s="412"/>
      <c r="AW30" s="412"/>
      <c r="AX30" s="411"/>
      <c r="AY30" s="411"/>
      <c r="AZ30" s="464"/>
      <c r="BA30" s="464"/>
      <c r="BB30" s="421" t="e">
        <f>COUNTIFS(#REF!,"&gt;=0",#REF!, "&lt;=12",#REF!,"Female",#REF!,"Unknown",#REF!,"YES")</f>
        <v>#REF!</v>
      </c>
      <c r="BC30" s="421"/>
      <c r="BD30" s="412"/>
      <c r="BE30" s="412"/>
      <c r="BF30" s="411"/>
      <c r="BG30" s="411"/>
      <c r="BH30" s="488"/>
      <c r="BI30" s="488"/>
      <c r="BJ30" s="422" t="e">
        <f t="shared" ref="BJ30:BJ39" si="4">F30+N30+V30+AD30+AL30+AT30+BB30</f>
        <v>#REF!</v>
      </c>
      <c r="BK30" s="422"/>
      <c r="BL30" s="420"/>
      <c r="BM30" s="420"/>
      <c r="BN30" s="420"/>
      <c r="BO30" s="420"/>
      <c r="BP30" s="2"/>
      <c r="BQ30" s="464"/>
      <c r="BR30" s="464"/>
      <c r="BS30" s="418" t="e">
        <f>COUNTIFS(#REF!,"&gt;=0",#REF!, "&lt;=12",#REF!,"Female",#REF!,"Not Hispanic or Latino",#REF!,"YES")</f>
        <v>#REF!</v>
      </c>
      <c r="BT30" s="418"/>
      <c r="BU30" s="417"/>
      <c r="BV30" s="417"/>
      <c r="BW30" s="418"/>
      <c r="BX30" s="418"/>
      <c r="BY30" s="464"/>
      <c r="BZ30" s="464"/>
      <c r="CA30" s="418" t="e">
        <f>COUNTIFS(#REF!,"&gt;=0",#REF!, "&lt;=12",#REF!,"Female",#REF!,"Hispanic-Latino ",#REF!,"YES")</f>
        <v>#REF!</v>
      </c>
      <c r="CB30" s="418"/>
      <c r="CC30" s="417"/>
      <c r="CD30" s="417"/>
      <c r="CE30" s="418"/>
      <c r="CF30" s="418"/>
      <c r="CG30" s="464"/>
      <c r="CH30" s="464"/>
      <c r="CI30" s="418" t="e">
        <f>COUNTIFS(#REF!,"&gt;=0",#REF!, "&lt;=12",#REF!,"Female",#REF!,"Unknown",#REF!,"YES")</f>
        <v>#REF!</v>
      </c>
      <c r="CJ30" s="418"/>
      <c r="CK30" s="417"/>
      <c r="CL30" s="417"/>
      <c r="CM30" s="418"/>
      <c r="CN30" s="418"/>
      <c r="CO30" s="489"/>
      <c r="CP30" s="489"/>
      <c r="CQ30" s="432" t="e">
        <f t="shared" ref="CQ30:CQ39" si="5">BS30+CA30+CI30</f>
        <v>#REF!</v>
      </c>
      <c r="CR30" s="432"/>
      <c r="CS30" s="431"/>
      <c r="CT30" s="431"/>
      <c r="CU30" s="431"/>
      <c r="CV30" s="431"/>
    </row>
    <row r="31" spans="1:100" x14ac:dyDescent="0.25">
      <c r="A31" s="433" t="s">
        <v>126</v>
      </c>
      <c r="B31" s="434"/>
      <c r="C31" s="435"/>
      <c r="D31" s="487"/>
      <c r="E31" s="487"/>
      <c r="F31" s="411" t="e">
        <f>COUNTIFS(#REF!,"&gt;=13",#REF!, "&lt;=17",#REF!,"Female",#REF!,"White",#REF!,"YES")</f>
        <v>#REF!</v>
      </c>
      <c r="G31" s="411"/>
      <c r="H31" s="412"/>
      <c r="I31" s="412"/>
      <c r="J31" s="411"/>
      <c r="K31" s="411"/>
      <c r="L31" s="487"/>
      <c r="M31" s="487"/>
      <c r="N31" s="411" t="e">
        <f>COUNTIFS(#REF!,"&gt;=13",#REF!, "&lt;=17",#REF!,"Female",#REF!,"African American /Black",#REF!,"YES")</f>
        <v>#REF!</v>
      </c>
      <c r="O31" s="411"/>
      <c r="P31" s="412"/>
      <c r="Q31" s="412"/>
      <c r="R31" s="411"/>
      <c r="S31" s="411"/>
      <c r="T31" s="464"/>
      <c r="U31" s="464"/>
      <c r="V31" s="411" t="e">
        <f>COUNTIFS(#REF!,"&gt;=13",#REF!, "&lt;=17",#REF!,"Female",#REF!,"Native Hawaiian / Other Pacific Islander",#REF!,"YES")</f>
        <v>#REF!</v>
      </c>
      <c r="W31" s="411"/>
      <c r="X31" s="412"/>
      <c r="Y31" s="412"/>
      <c r="Z31" s="411"/>
      <c r="AA31" s="411"/>
      <c r="AB31" s="464"/>
      <c r="AC31" s="464"/>
      <c r="AD31" s="411" t="e">
        <f>COUNTIFS(#REF!,"&gt;=13",#REF!, "&lt;=17",#REF!,"Female",#REF!,"Asian ",#REF!,"YES")</f>
        <v>#REF!</v>
      </c>
      <c r="AE31" s="411"/>
      <c r="AF31" s="412"/>
      <c r="AG31" s="412"/>
      <c r="AH31" s="411"/>
      <c r="AI31" s="411"/>
      <c r="AJ31" s="464"/>
      <c r="AK31" s="464"/>
      <c r="AL31" s="411" t="e">
        <f>COUNTIFS(#REF!,"&gt;=13",#REF!, "&lt;=17",#REF!,"Female",#REF!,"American Indian / Alaska Native",#REF!,"YES")</f>
        <v>#REF!</v>
      </c>
      <c r="AM31" s="411"/>
      <c r="AN31" s="412"/>
      <c r="AO31" s="412"/>
      <c r="AP31" s="411"/>
      <c r="AQ31" s="411"/>
      <c r="AR31" s="464"/>
      <c r="AS31" s="464"/>
      <c r="AT31" s="411" t="e">
        <f>COUNTIFS(#REF!,"&gt;=13",#REF!, "&lt;=17",#REF!,"Female",#REF!,"More than one race reported",#REF!,"YES")</f>
        <v>#REF!</v>
      </c>
      <c r="AU31" s="411"/>
      <c r="AV31" s="412"/>
      <c r="AW31" s="412"/>
      <c r="AX31" s="411"/>
      <c r="AY31" s="411"/>
      <c r="AZ31" s="464"/>
      <c r="BA31" s="464"/>
      <c r="BB31" s="421" t="e">
        <f>COUNTIFS(#REF!,"&gt;=13",#REF!, "&lt;=17",#REF!,"Female",#REF!,"Unknown",#REF!,"YES")</f>
        <v>#REF!</v>
      </c>
      <c r="BC31" s="421"/>
      <c r="BD31" s="412"/>
      <c r="BE31" s="412"/>
      <c r="BF31" s="411"/>
      <c r="BG31" s="411"/>
      <c r="BH31" s="488"/>
      <c r="BI31" s="488"/>
      <c r="BJ31" s="422" t="e">
        <f t="shared" si="4"/>
        <v>#REF!</v>
      </c>
      <c r="BK31" s="422"/>
      <c r="BL31" s="420"/>
      <c r="BM31" s="420"/>
      <c r="BN31" s="420"/>
      <c r="BO31" s="420"/>
      <c r="BP31" s="2"/>
      <c r="BQ31" s="464"/>
      <c r="BR31" s="464"/>
      <c r="BS31" s="418" t="e">
        <f>COUNTIFS(#REF!,"&gt;=13",#REF!, "&lt;=17",#REF!,"Female",#REF!,"Not Hispanic or Latino",#REF!,"YES")</f>
        <v>#REF!</v>
      </c>
      <c r="BT31" s="418"/>
      <c r="BU31" s="417"/>
      <c r="BV31" s="417"/>
      <c r="BW31" s="418"/>
      <c r="BX31" s="418"/>
      <c r="BY31" s="464"/>
      <c r="BZ31" s="464"/>
      <c r="CA31" s="418" t="e">
        <f>COUNTIFS(#REF!,"&gt;=13",#REF!, "&lt;=17",#REF!,"Female",#REF!,"Hispanic-Latino ",#REF!,"YES")</f>
        <v>#REF!</v>
      </c>
      <c r="CB31" s="418"/>
      <c r="CC31" s="417"/>
      <c r="CD31" s="417"/>
      <c r="CE31" s="418"/>
      <c r="CF31" s="418"/>
      <c r="CG31" s="464"/>
      <c r="CH31" s="464"/>
      <c r="CI31" s="418" t="e">
        <f>COUNTIFS(#REF!,"&gt;=13",#REF!, "&lt;=17",#REF!,"Female",#REF!,"Unknown",#REF!,"NO")</f>
        <v>#REF!</v>
      </c>
      <c r="CJ31" s="418"/>
      <c r="CK31" s="417"/>
      <c r="CL31" s="417"/>
      <c r="CM31" s="418"/>
      <c r="CN31" s="418"/>
      <c r="CO31" s="489"/>
      <c r="CP31" s="489"/>
      <c r="CQ31" s="432" t="e">
        <f t="shared" si="5"/>
        <v>#REF!</v>
      </c>
      <c r="CR31" s="432"/>
      <c r="CS31" s="431"/>
      <c r="CT31" s="431"/>
      <c r="CU31" s="431"/>
      <c r="CV31" s="431"/>
    </row>
    <row r="32" spans="1:100" x14ac:dyDescent="0.25">
      <c r="A32" s="433" t="s">
        <v>127</v>
      </c>
      <c r="B32" s="434"/>
      <c r="C32" s="435"/>
      <c r="D32" s="487"/>
      <c r="E32" s="487"/>
      <c r="F32" s="411" t="e">
        <f>COUNTIFS(#REF!,"&gt;=18",#REF!, "&lt;=20",#REF!,"Female",#REF!,"White",#REF!,"YES")</f>
        <v>#REF!</v>
      </c>
      <c r="G32" s="411"/>
      <c r="H32" s="412"/>
      <c r="I32" s="412"/>
      <c r="J32" s="411"/>
      <c r="K32" s="411"/>
      <c r="L32" s="487"/>
      <c r="M32" s="487"/>
      <c r="N32" s="411" t="e">
        <f>COUNTIFS(#REF!,"&gt;=18",#REF!, "&lt;=20",#REF!,"Female",#REF!,"African American /Black",#REF!,"YES")</f>
        <v>#REF!</v>
      </c>
      <c r="O32" s="411"/>
      <c r="P32" s="412"/>
      <c r="Q32" s="412"/>
      <c r="R32" s="411"/>
      <c r="S32" s="411"/>
      <c r="T32" s="464"/>
      <c r="U32" s="464"/>
      <c r="V32" s="411" t="e">
        <f>COUNTIFS(#REF!,"&gt;=18",#REF!, "&lt;=20",#REF!,"Female",#REF!,"Native Hawaiian / Other Pacific Islander",#REF!,"YES")</f>
        <v>#REF!</v>
      </c>
      <c r="W32" s="411"/>
      <c r="X32" s="412"/>
      <c r="Y32" s="412"/>
      <c r="Z32" s="411"/>
      <c r="AA32" s="411"/>
      <c r="AB32" s="464"/>
      <c r="AC32" s="464"/>
      <c r="AD32" s="411" t="e">
        <f>COUNTIFS(#REF!,"&gt;=18",#REF!, "&lt;=20",#REF!,"Female",#REF!,"Asian ",#REF!,"YES")</f>
        <v>#REF!</v>
      </c>
      <c r="AE32" s="411"/>
      <c r="AF32" s="412"/>
      <c r="AG32" s="412"/>
      <c r="AH32" s="411"/>
      <c r="AI32" s="411"/>
      <c r="AJ32" s="464"/>
      <c r="AK32" s="464"/>
      <c r="AL32" s="411" t="e">
        <f>COUNTIFS(#REF!,"&gt;=18",#REF!, "&lt;=20",#REF!,"Female",#REF!,"American Indian / Alaska Native",#REF!,"YES")</f>
        <v>#REF!</v>
      </c>
      <c r="AM32" s="411"/>
      <c r="AN32" s="412"/>
      <c r="AO32" s="412"/>
      <c r="AP32" s="411"/>
      <c r="AQ32" s="411"/>
      <c r="AR32" s="464"/>
      <c r="AS32" s="464"/>
      <c r="AT32" s="411" t="e">
        <f>COUNTIFS(#REF!,"&gt;=18",#REF!, "&lt;=20",#REF!,"Female",#REF!,"More than one race reported",#REF!,"YES")</f>
        <v>#REF!</v>
      </c>
      <c r="AU32" s="411"/>
      <c r="AV32" s="412"/>
      <c r="AW32" s="412"/>
      <c r="AX32" s="411"/>
      <c r="AY32" s="411"/>
      <c r="AZ32" s="464"/>
      <c r="BA32" s="464"/>
      <c r="BB32" s="421" t="e">
        <f>COUNTIFS(#REF!,"&gt;=18",#REF!, "&lt;=20",#REF!,"Female",#REF!,"Unknown",#REF!,"YES")</f>
        <v>#REF!</v>
      </c>
      <c r="BC32" s="421"/>
      <c r="BD32" s="412"/>
      <c r="BE32" s="412"/>
      <c r="BF32" s="411"/>
      <c r="BG32" s="411"/>
      <c r="BH32" s="488"/>
      <c r="BI32" s="488"/>
      <c r="BJ32" s="422" t="e">
        <f t="shared" si="4"/>
        <v>#REF!</v>
      </c>
      <c r="BK32" s="422"/>
      <c r="BL32" s="420"/>
      <c r="BM32" s="420"/>
      <c r="BN32" s="420"/>
      <c r="BO32" s="420"/>
      <c r="BP32" s="2"/>
      <c r="BQ32" s="464"/>
      <c r="BR32" s="464"/>
      <c r="BS32" s="418" t="e">
        <f>COUNTIFS(#REF!,"&gt;=18",#REF!, "&lt;=20",#REF!,"Female",#REF!,"Not Hispanic or Latino",#REF!,"YES")</f>
        <v>#REF!</v>
      </c>
      <c r="BT32" s="418"/>
      <c r="BU32" s="417"/>
      <c r="BV32" s="417"/>
      <c r="BW32" s="418"/>
      <c r="BX32" s="418"/>
      <c r="BY32" s="464"/>
      <c r="BZ32" s="464"/>
      <c r="CA32" s="418" t="e">
        <f>COUNTIFS(#REF!,"&gt;=18",#REF!, "&lt;=20",#REF!,"Female",#REF!,"Hispanic-Latino ",#REF!,"YES")</f>
        <v>#REF!</v>
      </c>
      <c r="CB32" s="418"/>
      <c r="CC32" s="417"/>
      <c r="CD32" s="417"/>
      <c r="CE32" s="418"/>
      <c r="CF32" s="418"/>
      <c r="CG32" s="464"/>
      <c r="CH32" s="464"/>
      <c r="CI32" s="418" t="e">
        <f>COUNTIFS(#REF!,"&gt;=18",#REF!, "&lt;=20",#REF!,"Female",#REF!,"Unknown",#REF!,"YES")</f>
        <v>#REF!</v>
      </c>
      <c r="CJ32" s="418"/>
      <c r="CK32" s="417"/>
      <c r="CL32" s="417"/>
      <c r="CM32" s="418"/>
      <c r="CN32" s="418"/>
      <c r="CO32" s="489"/>
      <c r="CP32" s="489"/>
      <c r="CQ32" s="432" t="e">
        <f t="shared" si="5"/>
        <v>#REF!</v>
      </c>
      <c r="CR32" s="432"/>
      <c r="CS32" s="431"/>
      <c r="CT32" s="431"/>
      <c r="CU32" s="431"/>
      <c r="CV32" s="431"/>
    </row>
    <row r="33" spans="1:100" x14ac:dyDescent="0.25">
      <c r="A33" s="433" t="s">
        <v>128</v>
      </c>
      <c r="B33" s="434"/>
      <c r="C33" s="435"/>
      <c r="D33" s="487"/>
      <c r="E33" s="487"/>
      <c r="F33" s="411" t="e">
        <f>COUNTIFS(#REF!,"&gt;=21",#REF!, "&lt;=24",#REF!,"Female",#REF!,"White",#REF!,"YES")</f>
        <v>#REF!</v>
      </c>
      <c r="G33" s="411"/>
      <c r="H33" s="412"/>
      <c r="I33" s="412"/>
      <c r="J33" s="411"/>
      <c r="K33" s="411"/>
      <c r="L33" s="487"/>
      <c r="M33" s="487"/>
      <c r="N33" s="411" t="e">
        <f>COUNTIFS(#REF!,"&gt;=21",#REF!, "&lt;=24",#REF!,"Female",#REF!,"African American /Black",#REF!,"YES")</f>
        <v>#REF!</v>
      </c>
      <c r="O33" s="411"/>
      <c r="P33" s="412"/>
      <c r="Q33" s="412"/>
      <c r="R33" s="411"/>
      <c r="S33" s="411"/>
      <c r="T33" s="464"/>
      <c r="U33" s="464"/>
      <c r="V33" s="411" t="e">
        <f>COUNTIFS(#REF!,"&gt;=21",#REF!, "&lt;=24",#REF!,"Female",#REF!,"Native Hawaiian / Other Pacific Islander",#REF!,"YES")</f>
        <v>#REF!</v>
      </c>
      <c r="W33" s="411"/>
      <c r="X33" s="412"/>
      <c r="Y33" s="412"/>
      <c r="Z33" s="411"/>
      <c r="AA33" s="411"/>
      <c r="AB33" s="464"/>
      <c r="AC33" s="464"/>
      <c r="AD33" s="411" t="e">
        <f>COUNTIFS(#REF!,"&gt;=21",#REF!, "&lt;=24",#REF!,"Female",#REF!,"Asian ",#REF!,"YES")</f>
        <v>#REF!</v>
      </c>
      <c r="AE33" s="411"/>
      <c r="AF33" s="412"/>
      <c r="AG33" s="412"/>
      <c r="AH33" s="411"/>
      <c r="AI33" s="411"/>
      <c r="AJ33" s="464"/>
      <c r="AK33" s="464"/>
      <c r="AL33" s="411" t="e">
        <f>COUNTIFS(#REF!,"&gt;=21",#REF!, "&lt;=24",#REF!,"Female",#REF!,"American Indian / Alaska Native",#REF!,"YES")</f>
        <v>#REF!</v>
      </c>
      <c r="AM33" s="411"/>
      <c r="AN33" s="412"/>
      <c r="AO33" s="412"/>
      <c r="AP33" s="411"/>
      <c r="AQ33" s="411"/>
      <c r="AR33" s="464"/>
      <c r="AS33" s="464"/>
      <c r="AT33" s="411" t="e">
        <f>COUNTIFS(#REF!,"&gt;=21",#REF!, "&lt;=24",#REF!,"Female",#REF!,"More than one race reported",#REF!,"YES")</f>
        <v>#REF!</v>
      </c>
      <c r="AU33" s="411"/>
      <c r="AV33" s="412"/>
      <c r="AW33" s="412"/>
      <c r="AX33" s="411"/>
      <c r="AY33" s="411"/>
      <c r="AZ33" s="464"/>
      <c r="BA33" s="464"/>
      <c r="BB33" s="421" t="e">
        <f>COUNTIFS(#REF!,"&gt;=21",#REF!, "&lt;=24",#REF!,"Female",#REF!,"Unknown",#REF!,"YES")</f>
        <v>#REF!</v>
      </c>
      <c r="BC33" s="421"/>
      <c r="BD33" s="412"/>
      <c r="BE33" s="412"/>
      <c r="BF33" s="411"/>
      <c r="BG33" s="411"/>
      <c r="BH33" s="488"/>
      <c r="BI33" s="488"/>
      <c r="BJ33" s="422" t="e">
        <f t="shared" si="4"/>
        <v>#REF!</v>
      </c>
      <c r="BK33" s="422"/>
      <c r="BL33" s="420"/>
      <c r="BM33" s="420"/>
      <c r="BN33" s="420"/>
      <c r="BO33" s="420"/>
      <c r="BP33" s="2"/>
      <c r="BQ33" s="464"/>
      <c r="BR33" s="464"/>
      <c r="BS33" s="418" t="e">
        <f>COUNTIFS(#REF!,"&gt;=21",#REF!, "&lt;=24",#REF!,"Female",#REF!,"Not Hispanic or Latino",#REF!,"YES")</f>
        <v>#REF!</v>
      </c>
      <c r="BT33" s="418"/>
      <c r="BU33" s="417"/>
      <c r="BV33" s="417"/>
      <c r="BW33" s="418"/>
      <c r="BX33" s="418"/>
      <c r="BY33" s="464"/>
      <c r="BZ33" s="464"/>
      <c r="CA33" s="418" t="e">
        <f>COUNTIFS(#REF!,"&gt;=21",#REF!, "&lt;=24",#REF!,"Female",#REF!,"Hispanic-Latino ",#REF!,"YES")</f>
        <v>#REF!</v>
      </c>
      <c r="CB33" s="418"/>
      <c r="CC33" s="417"/>
      <c r="CD33" s="417"/>
      <c r="CE33" s="418"/>
      <c r="CF33" s="418"/>
      <c r="CG33" s="464"/>
      <c r="CH33" s="464"/>
      <c r="CI33" s="418" t="e">
        <f>COUNTIFS(#REF!,"&gt;=21",#REF!, "&lt;=24",#REF!,"Female",#REF!,"Unknown",#REF!,"YES")</f>
        <v>#REF!</v>
      </c>
      <c r="CJ33" s="418"/>
      <c r="CK33" s="417"/>
      <c r="CL33" s="417"/>
      <c r="CM33" s="418"/>
      <c r="CN33" s="418"/>
      <c r="CO33" s="489"/>
      <c r="CP33" s="489"/>
      <c r="CQ33" s="432" t="e">
        <f t="shared" si="5"/>
        <v>#REF!</v>
      </c>
      <c r="CR33" s="432"/>
      <c r="CS33" s="431"/>
      <c r="CT33" s="431"/>
      <c r="CU33" s="431"/>
      <c r="CV33" s="431"/>
    </row>
    <row r="34" spans="1:100" x14ac:dyDescent="0.25">
      <c r="A34" s="433" t="s">
        <v>129</v>
      </c>
      <c r="B34" s="434"/>
      <c r="C34" s="435"/>
      <c r="D34" s="487"/>
      <c r="E34" s="487"/>
      <c r="F34" s="411" t="e">
        <f>COUNTIFS(#REF!,"&gt;=25",#REF!, "&lt;=34",#REF!,"Female",#REF!,"White",#REF!,"YES")</f>
        <v>#REF!</v>
      </c>
      <c r="G34" s="411"/>
      <c r="H34" s="412"/>
      <c r="I34" s="412"/>
      <c r="J34" s="411"/>
      <c r="K34" s="411"/>
      <c r="L34" s="487"/>
      <c r="M34" s="487"/>
      <c r="N34" s="411" t="e">
        <f>COUNTIFS(#REF!,"&gt;=25",#REF!, "&lt;=34",#REF!,"Female",#REF!,"African American /Black",#REF!,"YES")</f>
        <v>#REF!</v>
      </c>
      <c r="O34" s="411"/>
      <c r="P34" s="412"/>
      <c r="Q34" s="412"/>
      <c r="R34" s="411"/>
      <c r="S34" s="411"/>
      <c r="T34" s="464"/>
      <c r="U34" s="464"/>
      <c r="V34" s="411" t="e">
        <f>COUNTIFS(#REF!,"&gt;=25",#REF!, "&lt;=34",#REF!,"Female",#REF!,"Native Hawaiian / Other Pacific Islander",#REF!,"YES")</f>
        <v>#REF!</v>
      </c>
      <c r="W34" s="411"/>
      <c r="X34" s="412"/>
      <c r="Y34" s="412"/>
      <c r="Z34" s="411"/>
      <c r="AA34" s="411"/>
      <c r="AB34" s="464"/>
      <c r="AC34" s="464"/>
      <c r="AD34" s="411" t="e">
        <f>COUNTIFS(#REF!,"&gt;=25",#REF!, "&lt;=34",#REF!,"Female",#REF!,"Asian ",#REF!,"YES")</f>
        <v>#REF!</v>
      </c>
      <c r="AE34" s="411"/>
      <c r="AF34" s="412"/>
      <c r="AG34" s="412"/>
      <c r="AH34" s="411"/>
      <c r="AI34" s="411"/>
      <c r="AJ34" s="464"/>
      <c r="AK34" s="464"/>
      <c r="AL34" s="411" t="e">
        <f>COUNTIFS(#REF!,"&gt;=25",#REF!, "&lt;=34",#REF!,"Female",#REF!,"American Indian / Alaska Native",#REF!,"YES")</f>
        <v>#REF!</v>
      </c>
      <c r="AM34" s="411"/>
      <c r="AN34" s="412"/>
      <c r="AO34" s="412"/>
      <c r="AP34" s="411"/>
      <c r="AQ34" s="411"/>
      <c r="AR34" s="464"/>
      <c r="AS34" s="464"/>
      <c r="AT34" s="411" t="e">
        <f>COUNTIFS(#REF!,"&gt;=25",#REF!, "&lt;=34",#REF!,"Female",#REF!,"More than one race reported",#REF!,"YES")</f>
        <v>#REF!</v>
      </c>
      <c r="AU34" s="411"/>
      <c r="AV34" s="412"/>
      <c r="AW34" s="412"/>
      <c r="AX34" s="411"/>
      <c r="AY34" s="411"/>
      <c r="AZ34" s="464"/>
      <c r="BA34" s="464"/>
      <c r="BB34" s="421" t="e">
        <f>COUNTIFS(#REF!,"&gt;=25",#REF!, "&lt;=34",#REF!,"Female",#REF!,"Unknown",#REF!,"YES")</f>
        <v>#REF!</v>
      </c>
      <c r="BC34" s="421"/>
      <c r="BD34" s="412"/>
      <c r="BE34" s="412"/>
      <c r="BF34" s="411"/>
      <c r="BG34" s="411"/>
      <c r="BH34" s="488"/>
      <c r="BI34" s="488"/>
      <c r="BJ34" s="422" t="e">
        <f t="shared" si="4"/>
        <v>#REF!</v>
      </c>
      <c r="BK34" s="422"/>
      <c r="BL34" s="420"/>
      <c r="BM34" s="420"/>
      <c r="BN34" s="420"/>
      <c r="BO34" s="420"/>
      <c r="BP34" s="2"/>
      <c r="BQ34" s="464"/>
      <c r="BR34" s="464"/>
      <c r="BS34" s="418" t="e">
        <f>COUNTIFS(#REF!,"&gt;=25",#REF!, "&lt;=34",#REF!,"Female",#REF!,"Not Hispanic or Latino",#REF!,"YES")</f>
        <v>#REF!</v>
      </c>
      <c r="BT34" s="418"/>
      <c r="BU34" s="417"/>
      <c r="BV34" s="417"/>
      <c r="BW34" s="418"/>
      <c r="BX34" s="418"/>
      <c r="BY34" s="464"/>
      <c r="BZ34" s="464"/>
      <c r="CA34" s="418" t="e">
        <f>COUNTIFS(#REF!,"&gt;=25",#REF!, "&lt;=34",#REF!,"Female",#REF!,"Hispanic-Latino ",#REF!,"YES")</f>
        <v>#REF!</v>
      </c>
      <c r="CB34" s="418"/>
      <c r="CC34" s="417"/>
      <c r="CD34" s="417"/>
      <c r="CE34" s="418"/>
      <c r="CF34" s="418"/>
      <c r="CG34" s="464"/>
      <c r="CH34" s="464"/>
      <c r="CI34" s="418" t="e">
        <f>COUNTIFS(#REF!,"&gt;=25",#REF!, "&lt;=34",#REF!,"Female",#REF!,"Unknown",#REF!,"YES")</f>
        <v>#REF!</v>
      </c>
      <c r="CJ34" s="418"/>
      <c r="CK34" s="417"/>
      <c r="CL34" s="417"/>
      <c r="CM34" s="418"/>
      <c r="CN34" s="418"/>
      <c r="CO34" s="489"/>
      <c r="CP34" s="489"/>
      <c r="CQ34" s="432" t="e">
        <f t="shared" si="5"/>
        <v>#REF!</v>
      </c>
      <c r="CR34" s="432"/>
      <c r="CS34" s="431"/>
      <c r="CT34" s="431"/>
      <c r="CU34" s="431"/>
      <c r="CV34" s="431"/>
    </row>
    <row r="35" spans="1:100" x14ac:dyDescent="0.25">
      <c r="A35" s="433" t="s">
        <v>130</v>
      </c>
      <c r="B35" s="434"/>
      <c r="C35" s="435"/>
      <c r="D35" s="487"/>
      <c r="E35" s="487"/>
      <c r="F35" s="411" t="e">
        <f>COUNTIFS(#REF!,"&gt;=35",#REF!, "&lt;=44",#REF!,"Female",#REF!,"White",#REF!,"YES")</f>
        <v>#REF!</v>
      </c>
      <c r="G35" s="411"/>
      <c r="H35" s="412"/>
      <c r="I35" s="412"/>
      <c r="J35" s="411"/>
      <c r="K35" s="411"/>
      <c r="L35" s="487"/>
      <c r="M35" s="487"/>
      <c r="N35" s="411" t="e">
        <f>COUNTIFS(#REF!,"&gt;=35",#REF!, "&lt;=44",#REF!,"Female",#REF!,"African American /Black",#REF!,"YES")</f>
        <v>#REF!</v>
      </c>
      <c r="O35" s="411"/>
      <c r="P35" s="412"/>
      <c r="Q35" s="412"/>
      <c r="R35" s="411"/>
      <c r="S35" s="411"/>
      <c r="T35" s="464"/>
      <c r="U35" s="464"/>
      <c r="V35" s="411" t="e">
        <f>COUNTIFS(#REF!,"&gt;=35",#REF!, "&lt;=44",#REF!,"Female",#REF!,"Native Hawaiian / Other Pacific Islander",#REF!,"YES")</f>
        <v>#REF!</v>
      </c>
      <c r="W35" s="411"/>
      <c r="X35" s="412"/>
      <c r="Y35" s="412"/>
      <c r="Z35" s="411"/>
      <c r="AA35" s="411"/>
      <c r="AB35" s="464"/>
      <c r="AC35" s="464"/>
      <c r="AD35" s="411" t="e">
        <f>COUNTIFS(#REF!,"&gt;=35",#REF!, "&lt;=44",#REF!,"Female",#REF!,"Asian ",#REF!,"YES")</f>
        <v>#REF!</v>
      </c>
      <c r="AE35" s="411"/>
      <c r="AF35" s="412"/>
      <c r="AG35" s="412"/>
      <c r="AH35" s="411"/>
      <c r="AI35" s="411"/>
      <c r="AJ35" s="464"/>
      <c r="AK35" s="464"/>
      <c r="AL35" s="411" t="e">
        <f>COUNTIFS(#REF!,"&gt;=35",#REF!, "&lt;=44",#REF!,"Female",#REF!,"American Indian / Alaska Native",#REF!,"YES")</f>
        <v>#REF!</v>
      </c>
      <c r="AM35" s="411"/>
      <c r="AN35" s="412"/>
      <c r="AO35" s="412"/>
      <c r="AP35" s="411"/>
      <c r="AQ35" s="411"/>
      <c r="AR35" s="464"/>
      <c r="AS35" s="464"/>
      <c r="AT35" s="411" t="e">
        <f>COUNTIFS(#REF!,"&gt;=35",#REF!, "&lt;=44",#REF!,"Female",#REF!,"More than one race reported",#REF!,"YES")</f>
        <v>#REF!</v>
      </c>
      <c r="AU35" s="411"/>
      <c r="AV35" s="412"/>
      <c r="AW35" s="412"/>
      <c r="AX35" s="411"/>
      <c r="AY35" s="411"/>
      <c r="AZ35" s="464"/>
      <c r="BA35" s="464"/>
      <c r="BB35" s="421" t="e">
        <f>COUNTIFS(#REF!,"&gt;=35",#REF!, "&lt;=44",#REF!,"Female",#REF!,"Unknown",#REF!,"YES")</f>
        <v>#REF!</v>
      </c>
      <c r="BC35" s="421"/>
      <c r="BD35" s="412"/>
      <c r="BE35" s="412"/>
      <c r="BF35" s="411"/>
      <c r="BG35" s="411"/>
      <c r="BH35" s="488"/>
      <c r="BI35" s="488"/>
      <c r="BJ35" s="422" t="e">
        <f t="shared" si="4"/>
        <v>#REF!</v>
      </c>
      <c r="BK35" s="422"/>
      <c r="BL35" s="420"/>
      <c r="BM35" s="420"/>
      <c r="BN35" s="420"/>
      <c r="BO35" s="420"/>
      <c r="BP35" s="2"/>
      <c r="BQ35" s="464"/>
      <c r="BR35" s="464"/>
      <c r="BS35" s="418" t="e">
        <f>COUNTIFS(#REF!,"&gt;=35",#REF!, "&lt;=44",#REF!,"Female",#REF!,"Not Hispanic or Latino",#REF!,"YES")</f>
        <v>#REF!</v>
      </c>
      <c r="BT35" s="418"/>
      <c r="BU35" s="417"/>
      <c r="BV35" s="417"/>
      <c r="BW35" s="418"/>
      <c r="BX35" s="418"/>
      <c r="BY35" s="464"/>
      <c r="BZ35" s="464"/>
      <c r="CA35" s="418" t="e">
        <f>COUNTIFS(#REF!,"&gt;=35",#REF!, "&lt;=44",#REF!,"Female",#REF!,"Hispanic-Latino ",#REF!,"YES")</f>
        <v>#REF!</v>
      </c>
      <c r="CB35" s="418"/>
      <c r="CC35" s="417"/>
      <c r="CD35" s="417"/>
      <c r="CE35" s="418"/>
      <c r="CF35" s="418"/>
      <c r="CG35" s="464"/>
      <c r="CH35" s="464"/>
      <c r="CI35" s="418" t="e">
        <f>COUNTIFS(#REF!,"&gt;=35",#REF!, "&lt;=44",#REF!,"Female",#REF!,"Unknown",#REF!,"YES")</f>
        <v>#REF!</v>
      </c>
      <c r="CJ35" s="418"/>
      <c r="CK35" s="417"/>
      <c r="CL35" s="417"/>
      <c r="CM35" s="418"/>
      <c r="CN35" s="418"/>
      <c r="CO35" s="489"/>
      <c r="CP35" s="489"/>
      <c r="CQ35" s="432" t="e">
        <f t="shared" si="5"/>
        <v>#REF!</v>
      </c>
      <c r="CR35" s="432"/>
      <c r="CS35" s="431"/>
      <c r="CT35" s="431"/>
      <c r="CU35" s="431"/>
      <c r="CV35" s="431"/>
    </row>
    <row r="36" spans="1:100" x14ac:dyDescent="0.25">
      <c r="A36" s="433" t="s">
        <v>131</v>
      </c>
      <c r="B36" s="434"/>
      <c r="C36" s="435"/>
      <c r="D36" s="487"/>
      <c r="E36" s="487"/>
      <c r="F36" s="411" t="e">
        <f>COUNTIFS(#REF!,"&gt;=45",#REF!, "&lt;=54",#REF!,"Female",#REF!,"White",#REF!,"YES")</f>
        <v>#REF!</v>
      </c>
      <c r="G36" s="411"/>
      <c r="H36" s="412"/>
      <c r="I36" s="412"/>
      <c r="J36" s="411"/>
      <c r="K36" s="411"/>
      <c r="L36" s="487"/>
      <c r="M36" s="487"/>
      <c r="N36" s="411" t="e">
        <f>COUNTIFS(#REF!,"&gt;=45",#REF!, "&lt;=54",#REF!,"Female",#REF!,"African American /Black",#REF!,"YES")</f>
        <v>#REF!</v>
      </c>
      <c r="O36" s="411"/>
      <c r="P36" s="412"/>
      <c r="Q36" s="412"/>
      <c r="R36" s="411"/>
      <c r="S36" s="411"/>
      <c r="T36" s="464"/>
      <c r="U36" s="464"/>
      <c r="V36" s="411" t="e">
        <f>COUNTIFS(#REF!,"&gt;=45",#REF!, "&lt;=54",#REF!,"Female",#REF!,"Native Hawaiian / Other Pacific Islander",#REF!,"YES")</f>
        <v>#REF!</v>
      </c>
      <c r="W36" s="411"/>
      <c r="X36" s="412"/>
      <c r="Y36" s="412"/>
      <c r="Z36" s="411"/>
      <c r="AA36" s="411"/>
      <c r="AB36" s="464"/>
      <c r="AC36" s="464"/>
      <c r="AD36" s="411" t="e">
        <f>COUNTIFS(#REF!,"&gt;=45",#REF!, "&lt;=54",#REF!,"Female",#REF!,"Asian ",#REF!,"YES")</f>
        <v>#REF!</v>
      </c>
      <c r="AE36" s="411"/>
      <c r="AF36" s="412"/>
      <c r="AG36" s="412"/>
      <c r="AH36" s="411"/>
      <c r="AI36" s="411"/>
      <c r="AJ36" s="464"/>
      <c r="AK36" s="464"/>
      <c r="AL36" s="411" t="e">
        <f>COUNTIFS(#REF!,"&gt;=45",#REF!, "&lt;=54",#REF!,"Female",#REF!,"American Indian / Alaska Native",#REF!,"YES")</f>
        <v>#REF!</v>
      </c>
      <c r="AM36" s="411"/>
      <c r="AN36" s="412"/>
      <c r="AO36" s="412"/>
      <c r="AP36" s="411"/>
      <c r="AQ36" s="411"/>
      <c r="AR36" s="464"/>
      <c r="AS36" s="464"/>
      <c r="AT36" s="411" t="e">
        <f>COUNTIFS(#REF!,"&gt;=45",#REF!, "&lt;=54",#REF!,"Female",#REF!,"More than one race reported",#REF!,"YES")</f>
        <v>#REF!</v>
      </c>
      <c r="AU36" s="411"/>
      <c r="AV36" s="412"/>
      <c r="AW36" s="412"/>
      <c r="AX36" s="411"/>
      <c r="AY36" s="411"/>
      <c r="AZ36" s="464"/>
      <c r="BA36" s="464"/>
      <c r="BB36" s="421" t="e">
        <f>COUNTIFS(#REF!,"&gt;=45",#REF!, "&lt;=54",#REF!,"Female",#REF!,"Unknown",#REF!,"YES")</f>
        <v>#REF!</v>
      </c>
      <c r="BC36" s="421"/>
      <c r="BD36" s="412"/>
      <c r="BE36" s="412"/>
      <c r="BF36" s="411"/>
      <c r="BG36" s="411"/>
      <c r="BH36" s="488"/>
      <c r="BI36" s="488"/>
      <c r="BJ36" s="422" t="e">
        <f t="shared" si="4"/>
        <v>#REF!</v>
      </c>
      <c r="BK36" s="422"/>
      <c r="BL36" s="420"/>
      <c r="BM36" s="420"/>
      <c r="BN36" s="420"/>
      <c r="BO36" s="420"/>
      <c r="BP36" s="2"/>
      <c r="BQ36" s="464"/>
      <c r="BR36" s="464"/>
      <c r="BS36" s="418" t="e">
        <f>COUNTIFS(#REF!,"&gt;=45",#REF!, "&lt;=54",#REF!,"Female",#REF!,"Not Hispanic or Latino",#REF!,"YES")</f>
        <v>#REF!</v>
      </c>
      <c r="BT36" s="418"/>
      <c r="BU36" s="417"/>
      <c r="BV36" s="417"/>
      <c r="BW36" s="418"/>
      <c r="BX36" s="418"/>
      <c r="BY36" s="464"/>
      <c r="BZ36" s="464"/>
      <c r="CA36" s="418" t="e">
        <f>COUNTIFS(#REF!,"&gt;=45",#REF!, "&lt;=54",#REF!,"Female",#REF!,"Hispanic-Latino ",#REF!,"YES")</f>
        <v>#REF!</v>
      </c>
      <c r="CB36" s="418"/>
      <c r="CC36" s="417"/>
      <c r="CD36" s="417"/>
      <c r="CE36" s="418"/>
      <c r="CF36" s="418"/>
      <c r="CG36" s="464"/>
      <c r="CH36" s="464"/>
      <c r="CI36" s="418" t="e">
        <f>COUNTIFS(#REF!,"&gt;=45",#REF!, "&lt;=54",#REF!,"Female",#REF!,"Unknown",#REF!,"YES")</f>
        <v>#REF!</v>
      </c>
      <c r="CJ36" s="418"/>
      <c r="CK36" s="417"/>
      <c r="CL36" s="417"/>
      <c r="CM36" s="418"/>
      <c r="CN36" s="418"/>
      <c r="CO36" s="489"/>
      <c r="CP36" s="489"/>
      <c r="CQ36" s="432" t="e">
        <f t="shared" si="5"/>
        <v>#REF!</v>
      </c>
      <c r="CR36" s="432"/>
      <c r="CS36" s="431"/>
      <c r="CT36" s="431"/>
      <c r="CU36" s="431"/>
      <c r="CV36" s="431"/>
    </row>
    <row r="37" spans="1:100" x14ac:dyDescent="0.25">
      <c r="A37" s="433" t="s">
        <v>132</v>
      </c>
      <c r="B37" s="434"/>
      <c r="C37" s="435"/>
      <c r="D37" s="487"/>
      <c r="E37" s="487"/>
      <c r="F37" s="411" t="e">
        <f>COUNTIFS(#REF!,"&gt;=55",#REF!, "&lt;=64",#REF!,"Female",#REF!,"White",#REF!,"YES")</f>
        <v>#REF!</v>
      </c>
      <c r="G37" s="411"/>
      <c r="H37" s="412"/>
      <c r="I37" s="412"/>
      <c r="J37" s="411"/>
      <c r="K37" s="411"/>
      <c r="L37" s="487"/>
      <c r="M37" s="487"/>
      <c r="N37" s="411" t="e">
        <f>COUNTIFS(#REF!,"&gt;=55",#REF!, "&lt;=64",#REF!,"Female",#REF!,"African American /Black",#REF!,"YES")</f>
        <v>#REF!</v>
      </c>
      <c r="O37" s="411"/>
      <c r="P37" s="412"/>
      <c r="Q37" s="412"/>
      <c r="R37" s="411"/>
      <c r="S37" s="411"/>
      <c r="T37" s="464"/>
      <c r="U37" s="464"/>
      <c r="V37" s="411" t="e">
        <f>COUNTIFS(#REF!,"&gt;=55",#REF!, "&lt;=64",#REF!,"Female",#REF!,"Native Hawaiian / Other Pacific Islander",#REF!,"YES")</f>
        <v>#REF!</v>
      </c>
      <c r="W37" s="411"/>
      <c r="X37" s="412"/>
      <c r="Y37" s="412"/>
      <c r="Z37" s="411"/>
      <c r="AA37" s="411"/>
      <c r="AB37" s="464"/>
      <c r="AC37" s="464"/>
      <c r="AD37" s="411" t="e">
        <f>COUNTIFS(#REF!,"&gt;=55",#REF!, "&lt;=64",#REF!,"Female",#REF!,"Asian ",#REF!,"YES")</f>
        <v>#REF!</v>
      </c>
      <c r="AE37" s="411"/>
      <c r="AF37" s="412"/>
      <c r="AG37" s="412"/>
      <c r="AH37" s="411"/>
      <c r="AI37" s="411"/>
      <c r="AJ37" s="464"/>
      <c r="AK37" s="464"/>
      <c r="AL37" s="411" t="e">
        <f>COUNTIFS(#REF!,"&gt;=55",#REF!, "&lt;=64",#REF!,"Female",#REF!,"American Indian / Alaska Native",#REF!,"YES")</f>
        <v>#REF!</v>
      </c>
      <c r="AM37" s="411"/>
      <c r="AN37" s="412"/>
      <c r="AO37" s="412"/>
      <c r="AP37" s="411"/>
      <c r="AQ37" s="411"/>
      <c r="AR37" s="464"/>
      <c r="AS37" s="464"/>
      <c r="AT37" s="411" t="e">
        <f>COUNTIFS(#REF!,"&gt;=55",#REF!, "&lt;=64",#REF!,"Female",#REF!,"More than one race reported",#REF!,"YES")</f>
        <v>#REF!</v>
      </c>
      <c r="AU37" s="411"/>
      <c r="AV37" s="412"/>
      <c r="AW37" s="412"/>
      <c r="AX37" s="411"/>
      <c r="AY37" s="411"/>
      <c r="AZ37" s="464"/>
      <c r="BA37" s="464"/>
      <c r="BB37" s="421" t="e">
        <f>COUNTIFS(#REF!,"&gt;=55",#REF!, "&lt;=64",#REF!,"Female",#REF!,"Unknown",#REF!,"YES")</f>
        <v>#REF!</v>
      </c>
      <c r="BC37" s="421"/>
      <c r="BD37" s="412"/>
      <c r="BE37" s="412"/>
      <c r="BF37" s="411"/>
      <c r="BG37" s="411"/>
      <c r="BH37" s="488"/>
      <c r="BI37" s="488"/>
      <c r="BJ37" s="422" t="e">
        <f t="shared" si="4"/>
        <v>#REF!</v>
      </c>
      <c r="BK37" s="422"/>
      <c r="BL37" s="420"/>
      <c r="BM37" s="420"/>
      <c r="BN37" s="420"/>
      <c r="BO37" s="420"/>
      <c r="BP37" s="2"/>
      <c r="BQ37" s="464"/>
      <c r="BR37" s="464"/>
      <c r="BS37" s="418" t="e">
        <f>COUNTIFS(#REF!,"&gt;=55",#REF!, "&lt;=64",#REF!,"Female",#REF!,"Not Hispanic or Latino",#REF!,"YES")</f>
        <v>#REF!</v>
      </c>
      <c r="BT37" s="418"/>
      <c r="BU37" s="417"/>
      <c r="BV37" s="417"/>
      <c r="BW37" s="418"/>
      <c r="BX37" s="418"/>
      <c r="BY37" s="464"/>
      <c r="BZ37" s="464"/>
      <c r="CA37" s="418" t="e">
        <f>COUNTIFS(#REF!,"&gt;=55",#REF!, "&lt;=64",#REF!,"Female",#REF!,"Hispanic-Latino ",#REF!,"YES")</f>
        <v>#REF!</v>
      </c>
      <c r="CB37" s="418"/>
      <c r="CC37" s="417"/>
      <c r="CD37" s="417"/>
      <c r="CE37" s="418"/>
      <c r="CF37" s="418"/>
      <c r="CG37" s="464"/>
      <c r="CH37" s="464"/>
      <c r="CI37" s="418" t="e">
        <f>COUNTIFS(#REF!,"&gt;=55",#REF!, "&lt;=64",#REF!,"Female",#REF!,"Unknown",#REF!,"YES")</f>
        <v>#REF!</v>
      </c>
      <c r="CJ37" s="418"/>
      <c r="CK37" s="417"/>
      <c r="CL37" s="417"/>
      <c r="CM37" s="418"/>
      <c r="CN37" s="418"/>
      <c r="CO37" s="489"/>
      <c r="CP37" s="489"/>
      <c r="CQ37" s="432" t="e">
        <f t="shared" si="5"/>
        <v>#REF!</v>
      </c>
      <c r="CR37" s="432"/>
      <c r="CS37" s="431"/>
      <c r="CT37" s="431"/>
      <c r="CU37" s="431"/>
      <c r="CV37" s="431"/>
    </row>
    <row r="38" spans="1:100" x14ac:dyDescent="0.25">
      <c r="A38" s="433" t="s">
        <v>133</v>
      </c>
      <c r="B38" s="434"/>
      <c r="C38" s="435"/>
      <c r="D38" s="487"/>
      <c r="E38" s="487"/>
      <c r="F38" s="411" t="e">
        <f>COUNTIFS(#REF!,"&gt;=65",#REF!, "&lt;=74",#REF!,"Female",#REF!,"White",#REF!,"YES")</f>
        <v>#REF!</v>
      </c>
      <c r="G38" s="411"/>
      <c r="H38" s="412"/>
      <c r="I38" s="412"/>
      <c r="J38" s="411"/>
      <c r="K38" s="411"/>
      <c r="L38" s="487"/>
      <c r="M38" s="487"/>
      <c r="N38" s="411" t="e">
        <f>COUNTIFS(#REF!,"&gt;=65",#REF!, "&lt;=74",#REF!,"Female",#REF!,"African American /Black",#REF!,"YES")</f>
        <v>#REF!</v>
      </c>
      <c r="O38" s="411"/>
      <c r="P38" s="412"/>
      <c r="Q38" s="412"/>
      <c r="R38" s="411"/>
      <c r="S38" s="411"/>
      <c r="T38" s="464"/>
      <c r="U38" s="464"/>
      <c r="V38" s="411" t="e">
        <f>COUNTIFS(#REF!,"&gt;=65",#REF!, "&lt;=74",#REF!,"Female",#REF!,"Native Hawaiian / Other Pacific Islander",#REF!,"YES")</f>
        <v>#REF!</v>
      </c>
      <c r="W38" s="411"/>
      <c r="X38" s="412"/>
      <c r="Y38" s="412"/>
      <c r="Z38" s="411"/>
      <c r="AA38" s="411"/>
      <c r="AB38" s="464"/>
      <c r="AC38" s="464"/>
      <c r="AD38" s="411" t="e">
        <f>COUNTIFS(#REF!,"&gt;=65",#REF!, "&lt;=74",#REF!,"Female",#REF!,"Asian ",#REF!,"YES")</f>
        <v>#REF!</v>
      </c>
      <c r="AE38" s="411"/>
      <c r="AF38" s="412"/>
      <c r="AG38" s="412"/>
      <c r="AH38" s="411"/>
      <c r="AI38" s="411"/>
      <c r="AJ38" s="464"/>
      <c r="AK38" s="464"/>
      <c r="AL38" s="411" t="e">
        <f>COUNTIFS(#REF!,"&gt;=65",#REF!, "&lt;=74",#REF!,"Female",#REF!,"American Indian / Alaska Native",#REF!,"YES")</f>
        <v>#REF!</v>
      </c>
      <c r="AM38" s="411"/>
      <c r="AN38" s="412"/>
      <c r="AO38" s="412"/>
      <c r="AP38" s="411"/>
      <c r="AQ38" s="411"/>
      <c r="AR38" s="464"/>
      <c r="AS38" s="464"/>
      <c r="AT38" s="411" t="e">
        <f>COUNTIFS(#REF!,"&gt;=65",#REF!, "&lt;=74",#REF!,"Female",#REF!,"More than one race reported",#REF!,"YES")</f>
        <v>#REF!</v>
      </c>
      <c r="AU38" s="411"/>
      <c r="AV38" s="412"/>
      <c r="AW38" s="412"/>
      <c r="AX38" s="411"/>
      <c r="AY38" s="411"/>
      <c r="AZ38" s="464"/>
      <c r="BA38" s="464"/>
      <c r="BB38" s="421" t="e">
        <f>COUNTIFS(#REF!,"&gt;=65",#REF!, "&lt;=74",#REF!,"Female",#REF!,"Unknown",#REF!,"YES")</f>
        <v>#REF!</v>
      </c>
      <c r="BC38" s="421"/>
      <c r="BD38" s="412"/>
      <c r="BE38" s="412"/>
      <c r="BF38" s="411"/>
      <c r="BG38" s="411"/>
      <c r="BH38" s="488"/>
      <c r="BI38" s="488"/>
      <c r="BJ38" s="422" t="e">
        <f t="shared" si="4"/>
        <v>#REF!</v>
      </c>
      <c r="BK38" s="422"/>
      <c r="BL38" s="420"/>
      <c r="BM38" s="420"/>
      <c r="BN38" s="420"/>
      <c r="BO38" s="420"/>
      <c r="BP38" s="2"/>
      <c r="BQ38" s="464"/>
      <c r="BR38" s="464"/>
      <c r="BS38" s="418" t="e">
        <f>COUNTIFS(#REF!,"&gt;=65",#REF!, "&lt;=74",#REF!,"Female",#REF!,"Not Hispanic or Latino",#REF!,"YES")</f>
        <v>#REF!</v>
      </c>
      <c r="BT38" s="418"/>
      <c r="BU38" s="417"/>
      <c r="BV38" s="417"/>
      <c r="BW38" s="418"/>
      <c r="BX38" s="418"/>
      <c r="BY38" s="464"/>
      <c r="BZ38" s="464"/>
      <c r="CA38" s="418" t="e">
        <f>COUNTIFS(#REF!,"&gt;=65",#REF!, "&lt;=74",#REF!,"Female",#REF!,"Hispanic-Latino ",#REF!,"YES")</f>
        <v>#REF!</v>
      </c>
      <c r="CB38" s="418"/>
      <c r="CC38" s="417"/>
      <c r="CD38" s="417"/>
      <c r="CE38" s="418"/>
      <c r="CF38" s="418"/>
      <c r="CG38" s="464"/>
      <c r="CH38" s="464"/>
      <c r="CI38" s="418" t="e">
        <f>COUNTIFS(#REF!,"&gt;=65",#REF!, "&lt;=74",#REF!,"Female",#REF!,"Unknown",#REF!,"YES")</f>
        <v>#REF!</v>
      </c>
      <c r="CJ38" s="418"/>
      <c r="CK38" s="417"/>
      <c r="CL38" s="417"/>
      <c r="CM38" s="418"/>
      <c r="CN38" s="418"/>
      <c r="CO38" s="489"/>
      <c r="CP38" s="489"/>
      <c r="CQ38" s="432" t="e">
        <f t="shared" si="5"/>
        <v>#REF!</v>
      </c>
      <c r="CR38" s="432"/>
      <c r="CS38" s="431"/>
      <c r="CT38" s="431"/>
      <c r="CU38" s="431"/>
      <c r="CV38" s="431"/>
    </row>
    <row r="39" spans="1:100" x14ac:dyDescent="0.25">
      <c r="A39" s="433" t="s">
        <v>134</v>
      </c>
      <c r="B39" s="434"/>
      <c r="C39" s="435"/>
      <c r="D39" s="487"/>
      <c r="E39" s="487"/>
      <c r="F39" s="411" t="e">
        <f>COUNTIFS(#REF!,"&gt;=75",#REF!, "&lt;=150",#REF!,"Female",#REF!,"White",#REF!,"YES")</f>
        <v>#REF!</v>
      </c>
      <c r="G39" s="411"/>
      <c r="H39" s="412"/>
      <c r="I39" s="412"/>
      <c r="J39" s="411"/>
      <c r="K39" s="411"/>
      <c r="L39" s="487"/>
      <c r="M39" s="487"/>
      <c r="N39" s="411" t="e">
        <f>COUNTIFS(#REF!,"&gt;=75",#REF!, "&lt;=150",#REF!,"Female",#REF!,"African American /Black",#REF!,"YES")</f>
        <v>#REF!</v>
      </c>
      <c r="O39" s="411"/>
      <c r="P39" s="412"/>
      <c r="Q39" s="412"/>
      <c r="R39" s="411"/>
      <c r="S39" s="411"/>
      <c r="T39" s="464"/>
      <c r="U39" s="464"/>
      <c r="V39" s="411" t="e">
        <f>COUNTIFS(#REF!,"&gt;=75",#REF!, "&lt;=150",#REF!,"Female",#REF!,"Native Hawaiian / Other Pacific Islander",#REF!,"YES")</f>
        <v>#REF!</v>
      </c>
      <c r="W39" s="411"/>
      <c r="X39" s="412"/>
      <c r="Y39" s="412"/>
      <c r="Z39" s="411"/>
      <c r="AA39" s="411"/>
      <c r="AB39" s="464"/>
      <c r="AC39" s="464"/>
      <c r="AD39" s="411" t="e">
        <f>COUNTIFS(#REF!,"&gt;=75",#REF!, "&lt;=150",#REF!,"Female",#REF!,"Asian ",#REF!,"YES")</f>
        <v>#REF!</v>
      </c>
      <c r="AE39" s="411"/>
      <c r="AF39" s="412"/>
      <c r="AG39" s="412"/>
      <c r="AH39" s="411"/>
      <c r="AI39" s="411"/>
      <c r="AJ39" s="464"/>
      <c r="AK39" s="464"/>
      <c r="AL39" s="411" t="e">
        <f>COUNTIFS(#REF!,"&gt;=75",#REF!, "&lt;=150",#REF!,"Female",#REF!,"American Indian / Alaska Native",#REF!,"YES")</f>
        <v>#REF!</v>
      </c>
      <c r="AM39" s="411"/>
      <c r="AN39" s="412"/>
      <c r="AO39" s="412"/>
      <c r="AP39" s="411"/>
      <c r="AQ39" s="411"/>
      <c r="AR39" s="464"/>
      <c r="AS39" s="464"/>
      <c r="AT39" s="411" t="e">
        <f>COUNTIFS(#REF!,"&gt;=75",#REF!, "&lt;=150",#REF!,"Female",#REF!,"More than one race reported",#REF!,"YES")</f>
        <v>#REF!</v>
      </c>
      <c r="AU39" s="411"/>
      <c r="AV39" s="412"/>
      <c r="AW39" s="412"/>
      <c r="AX39" s="411"/>
      <c r="AY39" s="411"/>
      <c r="AZ39" s="464"/>
      <c r="BA39" s="464"/>
      <c r="BB39" s="421" t="e">
        <f>COUNTIFS(#REF!,"&gt;=75",#REF!, "&lt;=150",#REF!,"Female",#REF!,"Unknown",#REF!,"YES")</f>
        <v>#REF!</v>
      </c>
      <c r="BC39" s="421"/>
      <c r="BD39" s="412"/>
      <c r="BE39" s="412"/>
      <c r="BF39" s="411"/>
      <c r="BG39" s="411"/>
      <c r="BH39" s="488"/>
      <c r="BI39" s="488"/>
      <c r="BJ39" s="422" t="e">
        <f t="shared" si="4"/>
        <v>#REF!</v>
      </c>
      <c r="BK39" s="422"/>
      <c r="BL39" s="420"/>
      <c r="BM39" s="420"/>
      <c r="BN39" s="420"/>
      <c r="BO39" s="420"/>
      <c r="BP39" s="2"/>
      <c r="BQ39" s="464"/>
      <c r="BR39" s="464"/>
      <c r="BS39" s="418" t="e">
        <f>COUNTIFS(#REF!,"&gt;=75",#REF!, "&lt;=150",#REF!,"Female",#REF!,"Not Hispanic or Latino",#REF!,"YES")</f>
        <v>#REF!</v>
      </c>
      <c r="BT39" s="418"/>
      <c r="BU39" s="417"/>
      <c r="BV39" s="417"/>
      <c r="BW39" s="418"/>
      <c r="BX39" s="418"/>
      <c r="BY39" s="464"/>
      <c r="BZ39" s="464"/>
      <c r="CA39" s="418" t="e">
        <f>COUNTIFS(#REF!,"&gt;=75",#REF!, "&lt;=150",#REF!,"Female",#REF!,"Hispanic-Latino ",#REF!,"YES")</f>
        <v>#REF!</v>
      </c>
      <c r="CB39" s="418"/>
      <c r="CC39" s="417"/>
      <c r="CD39" s="417"/>
      <c r="CE39" s="418"/>
      <c r="CF39" s="418"/>
      <c r="CG39" s="464"/>
      <c r="CH39" s="464"/>
      <c r="CI39" s="418" t="e">
        <f>COUNTIFS(#REF!,"&gt;=75",#REF!, "&lt;=150",#REF!,"Female",#REF!,"Unknown",#REF!,"YES")</f>
        <v>#REF!</v>
      </c>
      <c r="CJ39" s="418"/>
      <c r="CK39" s="417"/>
      <c r="CL39" s="417"/>
      <c r="CM39" s="418"/>
      <c r="CN39" s="418"/>
      <c r="CO39" s="489"/>
      <c r="CP39" s="489"/>
      <c r="CQ39" s="432" t="e">
        <f t="shared" si="5"/>
        <v>#REF!</v>
      </c>
      <c r="CR39" s="432"/>
      <c r="CS39" s="431"/>
      <c r="CT39" s="431"/>
      <c r="CU39" s="431"/>
      <c r="CV39" s="431"/>
    </row>
    <row r="40" spans="1:100" ht="18.75" x14ac:dyDescent="0.25">
      <c r="A40" s="436" t="s">
        <v>136</v>
      </c>
      <c r="B40" s="437"/>
      <c r="C40" s="438"/>
      <c r="D40" s="489"/>
      <c r="E40" s="489"/>
      <c r="F40" s="422" t="e">
        <f>SUM(F30:F39)</f>
        <v>#REF!</v>
      </c>
      <c r="G40" s="422"/>
      <c r="H40" s="420"/>
      <c r="I40" s="420"/>
      <c r="J40" s="420"/>
      <c r="K40" s="420"/>
      <c r="L40" s="489"/>
      <c r="M40" s="489"/>
      <c r="N40" s="422" t="e">
        <f>SUM(N30:N39)</f>
        <v>#REF!</v>
      </c>
      <c r="O40" s="422"/>
      <c r="P40" s="420"/>
      <c r="Q40" s="420"/>
      <c r="R40" s="420"/>
      <c r="S40" s="420"/>
      <c r="T40" s="489"/>
      <c r="U40" s="489"/>
      <c r="V40" s="422" t="e">
        <f>SUM(V30:V39)</f>
        <v>#REF!</v>
      </c>
      <c r="W40" s="422"/>
      <c r="X40" s="420"/>
      <c r="Y40" s="420"/>
      <c r="Z40" s="420"/>
      <c r="AA40" s="420"/>
      <c r="AB40" s="489"/>
      <c r="AC40" s="489"/>
      <c r="AD40" s="422" t="e">
        <f>SUM(AD30:AD39)</f>
        <v>#REF!</v>
      </c>
      <c r="AE40" s="422"/>
      <c r="AF40" s="420"/>
      <c r="AG40" s="420"/>
      <c r="AH40" s="420"/>
      <c r="AI40" s="420"/>
      <c r="AJ40" s="489"/>
      <c r="AK40" s="489"/>
      <c r="AL40" s="422" t="e">
        <f>SUM(AL30:AL39)</f>
        <v>#REF!</v>
      </c>
      <c r="AM40" s="422"/>
      <c r="AN40" s="420"/>
      <c r="AO40" s="420"/>
      <c r="AP40" s="420"/>
      <c r="AQ40" s="420"/>
      <c r="AR40" s="489"/>
      <c r="AS40" s="489"/>
      <c r="AT40" s="422" t="e">
        <f>SUM(AT30:AT39)</f>
        <v>#REF!</v>
      </c>
      <c r="AU40" s="422"/>
      <c r="AV40" s="420"/>
      <c r="AW40" s="420"/>
      <c r="AX40" s="420"/>
      <c r="AY40" s="420"/>
      <c r="AZ40" s="489"/>
      <c r="BA40" s="489"/>
      <c r="BB40" s="422" t="e">
        <f>SUM(BB30:BB39)</f>
        <v>#REF!</v>
      </c>
      <c r="BC40" s="422"/>
      <c r="BD40" s="420"/>
      <c r="BE40" s="420"/>
      <c r="BF40" s="420"/>
      <c r="BG40" s="420"/>
      <c r="BH40" s="488"/>
      <c r="BI40" s="488"/>
      <c r="BJ40" s="422" t="e">
        <f>SUM(BJ30:BJ39)</f>
        <v>#REF!</v>
      </c>
      <c r="BK40" s="422"/>
      <c r="BL40" s="420"/>
      <c r="BM40" s="420"/>
      <c r="BN40" s="420"/>
      <c r="BO40" s="420"/>
      <c r="BP40" s="2"/>
      <c r="BQ40" s="489"/>
      <c r="BR40" s="489"/>
      <c r="BS40" s="426" t="e">
        <f>SUM(BS30:BS39)</f>
        <v>#REF!</v>
      </c>
      <c r="BT40" s="426"/>
      <c r="BU40" s="427"/>
      <c r="BV40" s="427"/>
      <c r="BW40" s="427"/>
      <c r="BX40" s="427"/>
      <c r="BY40" s="489"/>
      <c r="BZ40" s="489"/>
      <c r="CA40" s="426" t="e">
        <f>SUM(CA30:CA39)</f>
        <v>#REF!</v>
      </c>
      <c r="CB40" s="426"/>
      <c r="CC40" s="427"/>
      <c r="CD40" s="427"/>
      <c r="CE40" s="427"/>
      <c r="CF40" s="427"/>
      <c r="CG40" s="489"/>
      <c r="CH40" s="489"/>
      <c r="CI40" s="426" t="e">
        <f>SUM(CI30:CI39)</f>
        <v>#REF!</v>
      </c>
      <c r="CJ40" s="426"/>
      <c r="CK40" s="427"/>
      <c r="CL40" s="427"/>
      <c r="CM40" s="427"/>
      <c r="CN40" s="427"/>
      <c r="CO40" s="489"/>
      <c r="CP40" s="489"/>
      <c r="CQ40" s="426" t="e">
        <f>SUM(CQ30:CQ39)</f>
        <v>#REF!</v>
      </c>
      <c r="CR40" s="426"/>
      <c r="CS40" s="427"/>
      <c r="CT40" s="427"/>
      <c r="CU40" s="427"/>
      <c r="CV40" s="427"/>
    </row>
    <row r="41" spans="1:100" ht="18.75" x14ac:dyDescent="0.3">
      <c r="A41" s="493" t="s">
        <v>381</v>
      </c>
      <c r="B41" s="493"/>
      <c r="C41" s="493"/>
      <c r="D41" s="493"/>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3"/>
      <c r="AC41" s="493"/>
      <c r="AD41" s="493"/>
      <c r="AE41" s="493"/>
      <c r="AF41" s="493"/>
      <c r="AG41" s="493"/>
      <c r="AH41" s="493"/>
      <c r="AI41" s="493"/>
      <c r="AJ41" s="493"/>
      <c r="AK41" s="493"/>
      <c r="AL41" s="493"/>
      <c r="AM41" s="493"/>
      <c r="AN41" s="493"/>
      <c r="AO41" s="493"/>
      <c r="AP41" s="493"/>
      <c r="AQ41" s="493"/>
      <c r="AR41" s="493"/>
      <c r="AS41" s="493"/>
      <c r="AT41" s="493"/>
      <c r="AU41" s="493"/>
      <c r="AV41" s="493"/>
      <c r="AW41" s="493"/>
      <c r="AX41" s="493"/>
      <c r="AY41" s="493"/>
      <c r="AZ41" s="493"/>
      <c r="BA41" s="493"/>
      <c r="BB41" s="493"/>
      <c r="BC41" s="493"/>
      <c r="BD41" s="493"/>
      <c r="BE41" s="493"/>
      <c r="BF41" s="493"/>
      <c r="BG41" s="493"/>
      <c r="BH41" s="448" t="e">
        <f>BH40+BJ40</f>
        <v>#REF!</v>
      </c>
      <c r="BI41" s="448"/>
      <c r="BJ41" s="448"/>
      <c r="BK41" s="448"/>
      <c r="BL41" s="448"/>
      <c r="BM41" s="448"/>
      <c r="BN41" s="448"/>
      <c r="BO41" s="448"/>
      <c r="BP41" s="16"/>
      <c r="BQ41" s="494" t="s">
        <v>382</v>
      </c>
      <c r="BR41" s="494"/>
      <c r="BS41" s="494"/>
      <c r="BT41" s="494"/>
      <c r="BU41" s="494"/>
      <c r="BV41" s="494"/>
      <c r="BW41" s="494"/>
      <c r="BX41" s="494"/>
      <c r="BY41" s="494"/>
      <c r="BZ41" s="494"/>
      <c r="CA41" s="494"/>
      <c r="CB41" s="494"/>
      <c r="CC41" s="494"/>
      <c r="CD41" s="494"/>
      <c r="CE41" s="494"/>
      <c r="CF41" s="494"/>
      <c r="CG41" s="494"/>
      <c r="CH41" s="494"/>
      <c r="CI41" s="494"/>
      <c r="CJ41" s="494"/>
      <c r="CK41" s="494"/>
      <c r="CL41" s="494"/>
      <c r="CM41" s="494"/>
      <c r="CN41" s="494"/>
      <c r="CO41" s="495" t="e">
        <f>CQ40</f>
        <v>#REF!</v>
      </c>
      <c r="CP41" s="495"/>
      <c r="CQ41" s="495"/>
      <c r="CR41" s="495"/>
      <c r="CS41" s="495"/>
      <c r="CT41" s="495"/>
      <c r="CU41" s="495"/>
      <c r="CV41" s="495"/>
    </row>
    <row r="42" spans="1:100" ht="18.75" x14ac:dyDescent="0.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30"/>
      <c r="BI42" s="30"/>
      <c r="BJ42" s="30"/>
      <c r="BK42" s="30"/>
      <c r="BL42" s="30"/>
      <c r="BM42" s="30"/>
      <c r="BN42" s="30"/>
      <c r="BO42" s="30"/>
      <c r="BP42" s="16"/>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30"/>
      <c r="CP42" s="30"/>
      <c r="CQ42" s="30"/>
      <c r="CR42" s="30"/>
      <c r="CS42" s="30"/>
      <c r="CT42" s="30"/>
      <c r="CU42" s="30"/>
      <c r="CV42" s="30"/>
    </row>
    <row r="43" spans="1:100" ht="35.1" customHeight="1" x14ac:dyDescent="0.25">
      <c r="A43" s="496" t="s">
        <v>383</v>
      </c>
      <c r="B43" s="496"/>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6"/>
      <c r="BG43" s="496"/>
      <c r="BH43" s="497" t="e">
        <f>BH26+BH41</f>
        <v>#REF!</v>
      </c>
      <c r="BI43" s="498"/>
      <c r="BJ43" s="498"/>
      <c r="BK43" s="498"/>
      <c r="BL43" s="498"/>
      <c r="BM43" s="498"/>
      <c r="BN43" s="498"/>
      <c r="BO43" s="499"/>
      <c r="BP43" s="31"/>
      <c r="BQ43" s="496" t="s">
        <v>433</v>
      </c>
      <c r="BR43" s="496"/>
      <c r="BS43" s="496"/>
      <c r="BT43" s="496"/>
      <c r="BU43" s="496"/>
      <c r="BV43" s="496"/>
      <c r="BW43" s="496"/>
      <c r="BX43" s="496"/>
      <c r="BY43" s="496"/>
      <c r="BZ43" s="496"/>
      <c r="CA43" s="496"/>
      <c r="CB43" s="496"/>
      <c r="CC43" s="496"/>
      <c r="CD43" s="496"/>
      <c r="CE43" s="496"/>
      <c r="CF43" s="496"/>
      <c r="CG43" s="496"/>
      <c r="CH43" s="496"/>
      <c r="CI43" s="496"/>
      <c r="CJ43" s="496"/>
      <c r="CK43" s="496"/>
      <c r="CL43" s="496"/>
      <c r="CM43" s="496"/>
      <c r="CN43" s="496"/>
      <c r="CO43" s="500" t="e">
        <f>CO26+CO41</f>
        <v>#REF!</v>
      </c>
      <c r="CP43" s="500"/>
      <c r="CQ43" s="500"/>
      <c r="CR43" s="500"/>
      <c r="CS43" s="500"/>
      <c r="CT43" s="500"/>
      <c r="CU43" s="500"/>
      <c r="CV43" s="500"/>
    </row>
    <row r="44" spans="1:100" ht="20.100000000000001" customHeight="1"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40"/>
      <c r="Z44" s="40"/>
      <c r="AA44" s="40"/>
      <c r="AB44" s="40"/>
      <c r="AC44" s="40"/>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40"/>
      <c r="BC44" s="40"/>
      <c r="BD44" s="40"/>
      <c r="BE44" s="40"/>
      <c r="BF44" s="40"/>
      <c r="BG44" s="40"/>
      <c r="BH44" s="41"/>
      <c r="BI44" s="41"/>
      <c r="BJ44" s="41"/>
      <c r="BK44" s="41"/>
      <c r="BL44" s="41"/>
      <c r="BM44" s="41"/>
      <c r="BN44" s="41"/>
      <c r="BO44" s="41"/>
      <c r="BP44" s="34"/>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1"/>
      <c r="CP44" s="41"/>
      <c r="CQ44" s="41"/>
      <c r="CR44" s="41"/>
      <c r="CS44" s="41"/>
      <c r="CT44" s="41"/>
      <c r="CU44" s="41"/>
      <c r="CV44" s="41"/>
    </row>
    <row r="45" spans="1:100" ht="35.1" customHeight="1" x14ac:dyDescent="0.25">
      <c r="A45" s="274" t="s">
        <v>397</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32"/>
      <c r="Z45" s="32"/>
      <c r="AA45" s="32"/>
      <c r="AB45" s="32"/>
      <c r="AC45" s="32"/>
      <c r="AD45" s="274" t="s">
        <v>403</v>
      </c>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32"/>
      <c r="BC45" s="32"/>
      <c r="BD45" s="32"/>
      <c r="BE45" s="32"/>
      <c r="BF45" s="32"/>
      <c r="BG45" s="32"/>
      <c r="BH45" s="33"/>
      <c r="BI45" s="33"/>
      <c r="BJ45" s="33"/>
      <c r="BK45" s="33"/>
      <c r="BL45" s="33"/>
      <c r="BM45" s="33"/>
      <c r="BN45" s="33"/>
      <c r="BO45" s="33"/>
      <c r="BP45" s="34"/>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3"/>
      <c r="CP45" s="33"/>
      <c r="CQ45" s="33"/>
      <c r="CR45" s="33"/>
      <c r="CS45" s="33"/>
      <c r="CT45" s="33"/>
      <c r="CU45" s="33"/>
      <c r="CV45" s="33"/>
    </row>
    <row r="46" spans="1:100" ht="35.1" customHeight="1" x14ac:dyDescent="0.25">
      <c r="A46" s="369" t="s">
        <v>393</v>
      </c>
      <c r="B46" s="369"/>
      <c r="C46" s="369"/>
      <c r="D46" s="369"/>
      <c r="E46" s="369"/>
      <c r="F46" s="369"/>
      <c r="G46" s="369"/>
      <c r="H46" s="369"/>
      <c r="I46" s="369"/>
      <c r="J46" s="369"/>
      <c r="K46" s="369"/>
      <c r="L46" s="369" t="s">
        <v>93</v>
      </c>
      <c r="M46" s="369"/>
      <c r="N46" s="369"/>
      <c r="O46" s="369"/>
      <c r="P46" s="369" t="s">
        <v>94</v>
      </c>
      <c r="Q46" s="369"/>
      <c r="R46" s="369"/>
      <c r="S46" s="369"/>
      <c r="T46" s="369" t="s">
        <v>123</v>
      </c>
      <c r="U46" s="369"/>
      <c r="V46" s="369"/>
      <c r="W46" s="369"/>
      <c r="X46" s="369"/>
      <c r="Y46" s="32"/>
      <c r="Z46" s="32"/>
      <c r="AA46" s="32"/>
      <c r="AB46" s="32"/>
      <c r="AC46" s="32"/>
      <c r="AD46" s="369" t="s">
        <v>402</v>
      </c>
      <c r="AE46" s="369"/>
      <c r="AF46" s="369"/>
      <c r="AG46" s="369"/>
      <c r="AH46" s="369"/>
      <c r="AI46" s="369"/>
      <c r="AJ46" s="369"/>
      <c r="AK46" s="369"/>
      <c r="AL46" s="369"/>
      <c r="AM46" s="369"/>
      <c r="AN46" s="369"/>
      <c r="AO46" s="369" t="s">
        <v>93</v>
      </c>
      <c r="AP46" s="369"/>
      <c r="AQ46" s="369"/>
      <c r="AR46" s="369"/>
      <c r="AS46" s="369" t="s">
        <v>94</v>
      </c>
      <c r="AT46" s="369"/>
      <c r="AU46" s="369"/>
      <c r="AV46" s="369"/>
      <c r="AW46" s="369" t="s">
        <v>123</v>
      </c>
      <c r="AX46" s="369"/>
      <c r="AY46" s="369"/>
      <c r="AZ46" s="369"/>
      <c r="BA46" s="369"/>
      <c r="BB46" s="32"/>
      <c r="BC46" s="32"/>
      <c r="BD46" s="32"/>
      <c r="BE46" s="32"/>
      <c r="BF46" s="32"/>
      <c r="BG46" s="32"/>
      <c r="BH46" s="33"/>
      <c r="BI46" s="33"/>
      <c r="BJ46" s="33"/>
      <c r="BK46" s="33"/>
      <c r="BL46" s="33"/>
      <c r="BM46" s="33"/>
      <c r="BN46" s="33"/>
      <c r="BO46" s="33"/>
      <c r="BP46" s="34"/>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3"/>
      <c r="CP46" s="33"/>
      <c r="CQ46" s="33"/>
      <c r="CR46" s="33"/>
      <c r="CS46" s="33"/>
      <c r="CT46" s="33"/>
      <c r="CU46" s="33"/>
      <c r="CV46" s="33"/>
    </row>
    <row r="47" spans="1:100" ht="35.1" customHeight="1" x14ac:dyDescent="0.25">
      <c r="A47" s="369" t="s">
        <v>123</v>
      </c>
      <c r="B47" s="369"/>
      <c r="C47" s="369"/>
      <c r="D47" s="369"/>
      <c r="E47" s="369"/>
      <c r="F47" s="369"/>
      <c r="G47" s="369"/>
      <c r="H47" s="369"/>
      <c r="I47" s="369"/>
      <c r="J47" s="369"/>
      <c r="K47" s="369"/>
      <c r="L47" s="370" t="e">
        <f>COUNTIFS(#REF!,"YES")</f>
        <v>#REF!</v>
      </c>
      <c r="M47" s="370"/>
      <c r="N47" s="370"/>
      <c r="O47" s="370"/>
      <c r="P47" s="370" t="e">
        <f>COUNTIFS(#REF!,"NO")</f>
        <v>#REF!</v>
      </c>
      <c r="Q47" s="370"/>
      <c r="R47" s="370"/>
      <c r="S47" s="370"/>
      <c r="T47" s="369" t="e">
        <f>SUM(L47:S47)</f>
        <v>#REF!</v>
      </c>
      <c r="U47" s="369"/>
      <c r="V47" s="369"/>
      <c r="W47" s="369"/>
      <c r="X47" s="369"/>
      <c r="Y47" s="32"/>
      <c r="Z47" s="32"/>
      <c r="AA47" s="32"/>
      <c r="AB47" s="32"/>
      <c r="AC47" s="32"/>
      <c r="AD47" s="369" t="s">
        <v>123</v>
      </c>
      <c r="AE47" s="369"/>
      <c r="AF47" s="369"/>
      <c r="AG47" s="369"/>
      <c r="AH47" s="369"/>
      <c r="AI47" s="369"/>
      <c r="AJ47" s="369"/>
      <c r="AK47" s="369"/>
      <c r="AL47" s="369"/>
      <c r="AM47" s="369"/>
      <c r="AN47" s="369"/>
      <c r="AO47" s="370" t="e">
        <f>COUNTIFS(#REF!,"YES")</f>
        <v>#REF!</v>
      </c>
      <c r="AP47" s="370"/>
      <c r="AQ47" s="370"/>
      <c r="AR47" s="370"/>
      <c r="AS47" s="370" t="e">
        <f>COUNTIFS(#REF!,"NO")</f>
        <v>#REF!</v>
      </c>
      <c r="AT47" s="370"/>
      <c r="AU47" s="370"/>
      <c r="AV47" s="370"/>
      <c r="AW47" s="369" t="e">
        <f>SUM(AO47:AV47)</f>
        <v>#REF!</v>
      </c>
      <c r="AX47" s="369"/>
      <c r="AY47" s="369"/>
      <c r="AZ47" s="369"/>
      <c r="BA47" s="369"/>
      <c r="BB47" s="32"/>
      <c r="BC47" s="32"/>
      <c r="BD47" s="32"/>
      <c r="BE47" s="32"/>
      <c r="BF47" s="32"/>
      <c r="BG47" s="32"/>
      <c r="BH47" s="33"/>
      <c r="BI47" s="33"/>
      <c r="BJ47" s="33"/>
      <c r="BK47" s="33"/>
      <c r="BL47" s="33"/>
      <c r="BM47" s="33"/>
      <c r="BN47" s="33"/>
      <c r="BO47" s="33"/>
      <c r="BP47" s="34"/>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3"/>
      <c r="CP47" s="33"/>
      <c r="CQ47" s="33"/>
      <c r="CR47" s="33"/>
      <c r="CS47" s="33"/>
      <c r="CT47" s="33"/>
      <c r="CU47" s="33"/>
      <c r="CV47" s="33"/>
    </row>
    <row r="48" spans="1:100" ht="35.1" customHeight="1" x14ac:dyDescent="0.2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3"/>
      <c r="BI48" s="33"/>
      <c r="BJ48" s="33"/>
      <c r="BK48" s="33"/>
      <c r="BL48" s="33"/>
      <c r="BM48" s="33"/>
      <c r="BN48" s="33"/>
      <c r="BO48" s="33"/>
      <c r="BP48" s="34"/>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3"/>
      <c r="CP48" s="33"/>
      <c r="CQ48" s="33"/>
      <c r="CR48" s="33"/>
      <c r="CS48" s="33"/>
      <c r="CT48" s="33"/>
      <c r="CU48" s="33"/>
      <c r="CV48" s="33"/>
    </row>
    <row r="49" spans="1:84" ht="18.75" x14ac:dyDescent="0.25">
      <c r="A49" s="371" t="s">
        <v>394</v>
      </c>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t="s">
        <v>395</v>
      </c>
      <c r="AE49" s="371"/>
      <c r="AF49" s="371"/>
      <c r="AG49" s="371"/>
      <c r="AH49" s="371"/>
      <c r="AI49" s="371"/>
      <c r="AJ49" s="371"/>
      <c r="AK49" s="371"/>
      <c r="AL49" s="371"/>
      <c r="AM49" s="371"/>
      <c r="AN49" s="371"/>
      <c r="AO49" s="371"/>
      <c r="AP49" s="371"/>
      <c r="AQ49" s="371"/>
      <c r="AR49" s="371"/>
      <c r="AS49" s="371"/>
      <c r="AT49" s="371"/>
      <c r="AU49" s="371"/>
      <c r="AV49" s="371"/>
      <c r="AW49" s="371" t="s">
        <v>396</v>
      </c>
      <c r="AX49" s="371"/>
      <c r="AY49" s="371"/>
      <c r="AZ49" s="371"/>
      <c r="BA49" s="371"/>
      <c r="BB49" s="371"/>
      <c r="BC49" s="371"/>
      <c r="BD49" s="371"/>
      <c r="BE49" s="371"/>
      <c r="BF49" s="371"/>
      <c r="BG49" s="371"/>
      <c r="BH49" s="371"/>
      <c r="BI49" s="371"/>
      <c r="BJ49" s="371"/>
      <c r="BK49" s="371"/>
      <c r="BL49" s="371"/>
      <c r="BM49" s="371"/>
      <c r="BN49" s="371"/>
      <c r="BO49" s="371"/>
      <c r="BP49" s="371"/>
      <c r="BQ49" s="371"/>
      <c r="BR49" s="371"/>
      <c r="BS49" s="371"/>
      <c r="BT49" s="371"/>
      <c r="BU49" s="371"/>
      <c r="BV49" s="371"/>
      <c r="BW49" s="371"/>
      <c r="BX49" s="371"/>
      <c r="BY49" s="371"/>
      <c r="BZ49" s="371"/>
      <c r="CA49" s="371"/>
      <c r="CB49" s="371"/>
      <c r="CC49" s="371"/>
      <c r="CD49" s="371"/>
      <c r="CE49" s="371"/>
    </row>
    <row r="50" spans="1:84" ht="30" customHeight="1" x14ac:dyDescent="0.25">
      <c r="A50" s="409" t="s">
        <v>346</v>
      </c>
      <c r="B50" s="409"/>
      <c r="C50" s="409"/>
      <c r="D50" s="409"/>
      <c r="E50" s="409"/>
      <c r="F50" s="409"/>
      <c r="G50" s="409"/>
      <c r="H50" s="409"/>
      <c r="I50" s="409"/>
      <c r="J50" s="409" t="s">
        <v>347</v>
      </c>
      <c r="K50" s="409"/>
      <c r="L50" s="409"/>
      <c r="M50" s="409"/>
      <c r="N50" s="409"/>
      <c r="O50" s="409"/>
      <c r="P50" s="409"/>
      <c r="Q50" s="409"/>
      <c r="R50" s="409"/>
      <c r="S50" s="409"/>
      <c r="T50" s="409" t="s">
        <v>377</v>
      </c>
      <c r="U50" s="409"/>
      <c r="V50" s="409"/>
      <c r="W50" s="409"/>
      <c r="X50" s="409"/>
      <c r="Y50" s="409"/>
      <c r="Z50" s="409"/>
      <c r="AA50" s="409"/>
      <c r="AB50" s="409"/>
      <c r="AC50" s="409"/>
      <c r="AD50" s="409" t="s">
        <v>346</v>
      </c>
      <c r="AE50" s="409"/>
      <c r="AF50" s="409"/>
      <c r="AG50" s="409"/>
      <c r="AH50" s="409"/>
      <c r="AI50" s="409"/>
      <c r="AJ50" s="409"/>
      <c r="AK50" s="409"/>
      <c r="AL50" s="409"/>
      <c r="AM50" s="409" t="s">
        <v>370</v>
      </c>
      <c r="AN50" s="409"/>
      <c r="AO50" s="409"/>
      <c r="AP50" s="409"/>
      <c r="AQ50" s="409"/>
      <c r="AR50" s="409"/>
      <c r="AS50" s="409"/>
      <c r="AT50" s="409"/>
      <c r="AU50" s="409"/>
      <c r="AV50" s="409"/>
      <c r="AW50" s="409" t="s">
        <v>346</v>
      </c>
      <c r="AX50" s="409"/>
      <c r="AY50" s="409"/>
      <c r="AZ50" s="409"/>
      <c r="BA50" s="409"/>
      <c r="BB50" s="409"/>
      <c r="BC50" s="409"/>
      <c r="BD50" s="409"/>
      <c r="BE50" s="409"/>
      <c r="BF50" s="409" t="s">
        <v>371</v>
      </c>
      <c r="BG50" s="409"/>
      <c r="BH50" s="409"/>
      <c r="BI50" s="409"/>
      <c r="BJ50" s="409"/>
      <c r="BK50" s="409"/>
      <c r="BL50" s="409"/>
      <c r="BM50" s="409"/>
      <c r="BN50" s="409"/>
      <c r="BO50" s="409"/>
      <c r="BP50" s="452" t="s">
        <v>372</v>
      </c>
      <c r="BQ50" s="453"/>
      <c r="BR50" s="453"/>
      <c r="BS50" s="454"/>
      <c r="BT50" s="452" t="s">
        <v>373</v>
      </c>
      <c r="BU50" s="453"/>
      <c r="BV50" s="453"/>
      <c r="BW50" s="454"/>
      <c r="BX50" s="452" t="s">
        <v>378</v>
      </c>
      <c r="BY50" s="453"/>
      <c r="BZ50" s="453"/>
      <c r="CA50" s="454"/>
      <c r="CB50" s="452" t="s">
        <v>374</v>
      </c>
      <c r="CC50" s="453"/>
      <c r="CD50" s="453"/>
      <c r="CE50" s="454"/>
      <c r="CF50" s="3"/>
    </row>
    <row r="51" spans="1:84" x14ac:dyDescent="0.25">
      <c r="A51" s="451" t="s">
        <v>348</v>
      </c>
      <c r="B51" s="451"/>
      <c r="C51" s="451"/>
      <c r="D51" s="451"/>
      <c r="E51" s="451"/>
      <c r="F51" s="451"/>
      <c r="G51" s="451"/>
      <c r="H51" s="451"/>
      <c r="I51" s="451"/>
      <c r="J51" s="388" t="e">
        <f>COUNTIFS(#REF!,"&gt;=07/01/2010",#REF!, "&lt;=09/30/2019")</f>
        <v>#REF!</v>
      </c>
      <c r="K51" s="388"/>
      <c r="L51" s="388"/>
      <c r="M51" s="388"/>
      <c r="N51" s="388"/>
      <c r="O51" s="388"/>
      <c r="P51" s="388"/>
      <c r="Q51" s="388"/>
      <c r="R51" s="388"/>
      <c r="S51" s="388"/>
      <c r="T51" s="368" t="e">
        <f>COUNTIFS(#REF!,"&gt;=07/01/2010",#REF!, "&lt;=09/30/2019",#REF!, "YES")</f>
        <v>#REF!</v>
      </c>
      <c r="U51" s="368"/>
      <c r="V51" s="368"/>
      <c r="W51" s="368"/>
      <c r="X51" s="368"/>
      <c r="Y51" s="368"/>
      <c r="Z51" s="368"/>
      <c r="AA51" s="368"/>
      <c r="AB51" s="368"/>
      <c r="AC51" s="368"/>
      <c r="AD51" s="451" t="s">
        <v>348</v>
      </c>
      <c r="AE51" s="451"/>
      <c r="AF51" s="451"/>
      <c r="AG51" s="451"/>
      <c r="AH51" s="451"/>
      <c r="AI51" s="451"/>
      <c r="AJ51" s="451"/>
      <c r="AK51" s="451"/>
      <c r="AL51" s="451"/>
      <c r="AM51" s="368" t="e">
        <f>COUNTIFS(#REF!,"&gt;=07/01/2010",#REF!, "&lt;=09/30/2019")</f>
        <v>#REF!</v>
      </c>
      <c r="AN51" s="368"/>
      <c r="AO51" s="368"/>
      <c r="AP51" s="368"/>
      <c r="AQ51" s="368"/>
      <c r="AR51" s="368"/>
      <c r="AS51" s="368"/>
      <c r="AT51" s="368"/>
      <c r="AU51" s="368"/>
      <c r="AV51" s="368"/>
      <c r="AW51" s="451" t="s">
        <v>348</v>
      </c>
      <c r="AX51" s="451"/>
      <c r="AY51" s="451"/>
      <c r="AZ51" s="451"/>
      <c r="BA51" s="451"/>
      <c r="BB51" s="451"/>
      <c r="BC51" s="451"/>
      <c r="BD51" s="451"/>
      <c r="BE51" s="451"/>
      <c r="BF51" s="368" t="e">
        <f>COUNTIFS(#REF!,"&gt;=07/01/2010",#REF!, "&lt;=09/30/2019")</f>
        <v>#REF!</v>
      </c>
      <c r="BG51" s="368"/>
      <c r="BH51" s="368"/>
      <c r="BI51" s="368"/>
      <c r="BJ51" s="368"/>
      <c r="BK51" s="368"/>
      <c r="BL51" s="368"/>
      <c r="BM51" s="368"/>
      <c r="BN51" s="368"/>
      <c r="BO51" s="368"/>
      <c r="BP51" s="250" t="e">
        <f>COUNTIFS(#REF!,"&gt;=07/01/2010",#REF!, "&lt;=09/30/2019",#REF!, "Phone")</f>
        <v>#REF!</v>
      </c>
      <c r="BQ51" s="251"/>
      <c r="BR51" s="251"/>
      <c r="BS51" s="252"/>
      <c r="BT51" s="250" t="e">
        <f>COUNTIFS(#REF!,"&gt;=07/01/2010",#REF!, "&lt;=09/30/2019",#REF!, "face-to-face")</f>
        <v>#REF!</v>
      </c>
      <c r="BU51" s="251"/>
      <c r="BV51" s="251"/>
      <c r="BW51" s="252"/>
      <c r="BX51" s="250" t="e">
        <f>COUNTIFS(#REF!,"&gt;=07/01/2010",#REF!, "&lt;=09/30/2019",#REF!, "text messages")</f>
        <v>#REF!</v>
      </c>
      <c r="BY51" s="251"/>
      <c r="BZ51" s="251"/>
      <c r="CA51" s="252"/>
      <c r="CB51" s="250" t="e">
        <f>COUNTIFS(#REF!,"&gt;=07/01/2010",#REF!, "&lt;=09/30/2019",#REF!, "other")</f>
        <v>#REF!</v>
      </c>
      <c r="CC51" s="251"/>
      <c r="CD51" s="251"/>
      <c r="CE51" s="252"/>
    </row>
    <row r="52" spans="1:84" x14ac:dyDescent="0.25">
      <c r="A52" s="451" t="s">
        <v>349</v>
      </c>
      <c r="B52" s="451"/>
      <c r="C52" s="451"/>
      <c r="D52" s="451"/>
      <c r="E52" s="451"/>
      <c r="F52" s="451"/>
      <c r="G52" s="451"/>
      <c r="H52" s="451"/>
      <c r="I52" s="451"/>
      <c r="J52" s="388" t="e">
        <f>COUNTIFS(#REF!,"&gt;=10/01/2019",#REF!, "&lt;=10/31/2019")</f>
        <v>#REF!</v>
      </c>
      <c r="K52" s="388"/>
      <c r="L52" s="388"/>
      <c r="M52" s="388"/>
      <c r="N52" s="388"/>
      <c r="O52" s="388"/>
      <c r="P52" s="388"/>
      <c r="Q52" s="388"/>
      <c r="R52" s="388"/>
      <c r="S52" s="388"/>
      <c r="T52" s="368" t="e">
        <f>COUNTIFS(#REF!,"&gt;=10/01/2019",#REF!, "&lt;=10/31/2019",#REF!, "YES")</f>
        <v>#REF!</v>
      </c>
      <c r="U52" s="368"/>
      <c r="V52" s="368"/>
      <c r="W52" s="368"/>
      <c r="X52" s="368"/>
      <c r="Y52" s="368"/>
      <c r="Z52" s="368"/>
      <c r="AA52" s="368"/>
      <c r="AB52" s="368"/>
      <c r="AC52" s="368"/>
      <c r="AD52" s="451" t="s">
        <v>349</v>
      </c>
      <c r="AE52" s="451"/>
      <c r="AF52" s="451"/>
      <c r="AG52" s="451"/>
      <c r="AH52" s="451"/>
      <c r="AI52" s="451"/>
      <c r="AJ52" s="451"/>
      <c r="AK52" s="451"/>
      <c r="AL52" s="451"/>
      <c r="AM52" s="368" t="e">
        <f>COUNTIFS(#REF!,"&gt;=10/01/2019",#REF!, "&lt;=10/31/2019")</f>
        <v>#REF!</v>
      </c>
      <c r="AN52" s="368"/>
      <c r="AO52" s="368"/>
      <c r="AP52" s="368"/>
      <c r="AQ52" s="368"/>
      <c r="AR52" s="368"/>
      <c r="AS52" s="368"/>
      <c r="AT52" s="368"/>
      <c r="AU52" s="368"/>
      <c r="AV52" s="368"/>
      <c r="AW52" s="451" t="s">
        <v>349</v>
      </c>
      <c r="AX52" s="451"/>
      <c r="AY52" s="451"/>
      <c r="AZ52" s="451"/>
      <c r="BA52" s="451"/>
      <c r="BB52" s="451"/>
      <c r="BC52" s="451"/>
      <c r="BD52" s="451"/>
      <c r="BE52" s="451"/>
      <c r="BF52" s="368" t="e">
        <f>COUNTIFS(#REF!,"&gt;=10/01/2019",#REF!, "&lt;=10/31/2019")</f>
        <v>#REF!</v>
      </c>
      <c r="BG52" s="368"/>
      <c r="BH52" s="368"/>
      <c r="BI52" s="368"/>
      <c r="BJ52" s="368"/>
      <c r="BK52" s="368"/>
      <c r="BL52" s="368"/>
      <c r="BM52" s="368"/>
      <c r="BN52" s="368"/>
      <c r="BO52" s="368"/>
      <c r="BP52" s="250" t="e">
        <f>COUNTIFS(#REF!,"&gt;=10/01/2019",#REF!, "&lt;=10/31/2019",#REF!, "Phone")</f>
        <v>#REF!</v>
      </c>
      <c r="BQ52" s="251"/>
      <c r="BR52" s="251"/>
      <c r="BS52" s="252"/>
      <c r="BT52" s="250" t="e">
        <f>COUNTIFS(#REF!,"&gt;=10/01/2019",#REF!, "&lt;=10/31/2019",#REF!, "face-to-face")</f>
        <v>#REF!</v>
      </c>
      <c r="BU52" s="251"/>
      <c r="BV52" s="251"/>
      <c r="BW52" s="252"/>
      <c r="BX52" s="250" t="e">
        <f>COUNTIFS(#REF!,"&gt;=10/01/2019",#REF!, "&lt;=10/31/2019",#REF!, "text messages")</f>
        <v>#REF!</v>
      </c>
      <c r="BY52" s="251"/>
      <c r="BZ52" s="251"/>
      <c r="CA52" s="252"/>
      <c r="CB52" s="250" t="e">
        <f>COUNTIFS(#REF!,"&gt;=10/01/2019",#REF!, "&lt;=10/31/2019",#REF!, "other")</f>
        <v>#REF!</v>
      </c>
      <c r="CC52" s="251"/>
      <c r="CD52" s="251"/>
      <c r="CE52" s="252"/>
    </row>
    <row r="53" spans="1:84" x14ac:dyDescent="0.25">
      <c r="A53" s="451" t="s">
        <v>350</v>
      </c>
      <c r="B53" s="451"/>
      <c r="C53" s="451"/>
      <c r="D53" s="451"/>
      <c r="E53" s="451"/>
      <c r="F53" s="451"/>
      <c r="G53" s="451"/>
      <c r="H53" s="451"/>
      <c r="I53" s="451"/>
      <c r="J53" s="388" t="e">
        <f>COUNTIFS(#REF!,"&gt;=11/01/2019",#REF!, "&lt;=11/30/2019")</f>
        <v>#REF!</v>
      </c>
      <c r="K53" s="388"/>
      <c r="L53" s="388"/>
      <c r="M53" s="388"/>
      <c r="N53" s="388"/>
      <c r="O53" s="388"/>
      <c r="P53" s="388"/>
      <c r="Q53" s="388"/>
      <c r="R53" s="388"/>
      <c r="S53" s="388"/>
      <c r="T53" s="368" t="e">
        <f>COUNTIFS(#REF!,"&gt;=11/01/2019",#REF!, "&lt;=11/30/2019",#REF!, "YES")</f>
        <v>#REF!</v>
      </c>
      <c r="U53" s="368"/>
      <c r="V53" s="368"/>
      <c r="W53" s="368"/>
      <c r="X53" s="368"/>
      <c r="Y53" s="368"/>
      <c r="Z53" s="368"/>
      <c r="AA53" s="368"/>
      <c r="AB53" s="368"/>
      <c r="AC53" s="368"/>
      <c r="AD53" s="451" t="s">
        <v>350</v>
      </c>
      <c r="AE53" s="451"/>
      <c r="AF53" s="451"/>
      <c r="AG53" s="451"/>
      <c r="AH53" s="451"/>
      <c r="AI53" s="451"/>
      <c r="AJ53" s="451"/>
      <c r="AK53" s="451"/>
      <c r="AL53" s="451"/>
      <c r="AM53" s="368" t="e">
        <f>COUNTIFS(#REF!,"&gt;=11/01/2019",#REF!, "&lt;=11/30/2019")</f>
        <v>#REF!</v>
      </c>
      <c r="AN53" s="368"/>
      <c r="AO53" s="368"/>
      <c r="AP53" s="368"/>
      <c r="AQ53" s="368"/>
      <c r="AR53" s="368"/>
      <c r="AS53" s="368"/>
      <c r="AT53" s="368"/>
      <c r="AU53" s="368"/>
      <c r="AV53" s="368"/>
      <c r="AW53" s="451" t="s">
        <v>350</v>
      </c>
      <c r="AX53" s="451"/>
      <c r="AY53" s="451"/>
      <c r="AZ53" s="451"/>
      <c r="BA53" s="451"/>
      <c r="BB53" s="451"/>
      <c r="BC53" s="451"/>
      <c r="BD53" s="451"/>
      <c r="BE53" s="451"/>
      <c r="BF53" s="368" t="e">
        <f>COUNTIFS(#REF!,"&gt;=11/01/2019",#REF!, "&lt;=11/30/2019")</f>
        <v>#REF!</v>
      </c>
      <c r="BG53" s="368"/>
      <c r="BH53" s="368"/>
      <c r="BI53" s="368"/>
      <c r="BJ53" s="368"/>
      <c r="BK53" s="368"/>
      <c r="BL53" s="368"/>
      <c r="BM53" s="368"/>
      <c r="BN53" s="368"/>
      <c r="BO53" s="368"/>
      <c r="BP53" s="250" t="e">
        <f>COUNTIFS(#REF!,"&gt;=11/01/2019",#REF!, "&lt;=11/30/2019",#REF!, "YES",#REF!, "Phone")</f>
        <v>#REF!</v>
      </c>
      <c r="BQ53" s="251"/>
      <c r="BR53" s="251"/>
      <c r="BS53" s="252"/>
      <c r="BT53" s="250" t="e">
        <f>COUNTIFS(#REF!,"&gt;=11/01/2019",#REF!, "&lt;=11/30/2019",#REF!, "YES",#REF!, "face-to-face")</f>
        <v>#REF!</v>
      </c>
      <c r="BU53" s="251"/>
      <c r="BV53" s="251"/>
      <c r="BW53" s="252"/>
      <c r="BX53" s="250" t="e">
        <f>COUNTIFS(#REF!,"&gt;=11/01/2019",#REF!, "&lt;=11/30/2019",#REF!, "YES",#REF!, "text messages")</f>
        <v>#REF!</v>
      </c>
      <c r="BY53" s="251"/>
      <c r="BZ53" s="251"/>
      <c r="CA53" s="252"/>
      <c r="CB53" s="250" t="e">
        <f>COUNTIFS(#REF!,"&gt;=11/01/2019",#REF!, "&lt;=11/30/2019",#REF!, "YES",#REF!, "other")</f>
        <v>#REF!</v>
      </c>
      <c r="CC53" s="251"/>
      <c r="CD53" s="251"/>
      <c r="CE53" s="252"/>
    </row>
    <row r="54" spans="1:84" x14ac:dyDescent="0.25">
      <c r="A54" s="451" t="s">
        <v>351</v>
      </c>
      <c r="B54" s="451"/>
      <c r="C54" s="451"/>
      <c r="D54" s="451"/>
      <c r="E54" s="451"/>
      <c r="F54" s="451"/>
      <c r="G54" s="451"/>
      <c r="H54" s="451"/>
      <c r="I54" s="451"/>
      <c r="J54" s="388" t="e">
        <f>COUNTIFS(#REF!,"&gt;=12/01/2019",#REF!, "&lt;=12/31/2019")</f>
        <v>#REF!</v>
      </c>
      <c r="K54" s="388"/>
      <c r="L54" s="388"/>
      <c r="M54" s="388"/>
      <c r="N54" s="388"/>
      <c r="O54" s="388"/>
      <c r="P54" s="388"/>
      <c r="Q54" s="388"/>
      <c r="R54" s="388"/>
      <c r="S54" s="388"/>
      <c r="T54" s="368" t="e">
        <f>COUNTIFS(#REF!,"&gt;=12/01/2019",#REF!, "&lt;=12/31/2019",#REF!, "YES")</f>
        <v>#REF!</v>
      </c>
      <c r="U54" s="368"/>
      <c r="V54" s="368"/>
      <c r="W54" s="368"/>
      <c r="X54" s="368"/>
      <c r="Y54" s="368"/>
      <c r="Z54" s="368"/>
      <c r="AA54" s="368"/>
      <c r="AB54" s="368"/>
      <c r="AC54" s="368"/>
      <c r="AD54" s="451" t="s">
        <v>351</v>
      </c>
      <c r="AE54" s="451"/>
      <c r="AF54" s="451"/>
      <c r="AG54" s="451"/>
      <c r="AH54" s="451"/>
      <c r="AI54" s="451"/>
      <c r="AJ54" s="451"/>
      <c r="AK54" s="451"/>
      <c r="AL54" s="451"/>
      <c r="AM54" s="368" t="e">
        <f>COUNTIFS(#REF!,"&gt;=11/01/2019",#REF!, "&lt;=11/30/2019")</f>
        <v>#REF!</v>
      </c>
      <c r="AN54" s="368"/>
      <c r="AO54" s="368"/>
      <c r="AP54" s="368"/>
      <c r="AQ54" s="368"/>
      <c r="AR54" s="368"/>
      <c r="AS54" s="368"/>
      <c r="AT54" s="368"/>
      <c r="AU54" s="368"/>
      <c r="AV54" s="368"/>
      <c r="AW54" s="451" t="s">
        <v>351</v>
      </c>
      <c r="AX54" s="451"/>
      <c r="AY54" s="451"/>
      <c r="AZ54" s="451"/>
      <c r="BA54" s="451"/>
      <c r="BB54" s="451"/>
      <c r="BC54" s="451"/>
      <c r="BD54" s="451"/>
      <c r="BE54" s="451"/>
      <c r="BF54" s="368" t="e">
        <f>COUNTIFS(#REF!,"&gt;=11/01/2019",#REF!, "&lt;=11/30/2019")</f>
        <v>#REF!</v>
      </c>
      <c r="BG54" s="368"/>
      <c r="BH54" s="368"/>
      <c r="BI54" s="368"/>
      <c r="BJ54" s="368"/>
      <c r="BK54" s="368"/>
      <c r="BL54" s="368"/>
      <c r="BM54" s="368"/>
      <c r="BN54" s="368"/>
      <c r="BO54" s="368"/>
      <c r="BP54" s="250" t="e">
        <f>COUNTIFS(#REF!,"&gt;=12/01/2019",#REF!, "&lt;=12/31/2019",#REF!, "YES",#REF!, "Phone")</f>
        <v>#REF!</v>
      </c>
      <c r="BQ54" s="251"/>
      <c r="BR54" s="251"/>
      <c r="BS54" s="252"/>
      <c r="BT54" s="250" t="e">
        <f>COUNTIFS(#REF!,"&gt;=12/01/2019",#REF!, "&lt;=12/31/2019",#REF!, "YES",#REF!, "face-to-face")</f>
        <v>#REF!</v>
      </c>
      <c r="BU54" s="251"/>
      <c r="BV54" s="251"/>
      <c r="BW54" s="252"/>
      <c r="BX54" s="250" t="e">
        <f>COUNTIFS(#REF!,"&gt;=12/01/2019",#REF!, "&lt;=12/31/2019",#REF!, "YES",#REF!, "text messages")</f>
        <v>#REF!</v>
      </c>
      <c r="BY54" s="251"/>
      <c r="BZ54" s="251"/>
      <c r="CA54" s="252"/>
      <c r="CB54" s="250" t="e">
        <f>COUNTIFS(#REF!,"&gt;=12/01/2019",#REF!, "&lt;=12/31/2019",#REF!, "YES",#REF!, "other")</f>
        <v>#REF!</v>
      </c>
      <c r="CC54" s="251"/>
      <c r="CD54" s="251"/>
      <c r="CE54" s="252"/>
    </row>
    <row r="55" spans="1:84" x14ac:dyDescent="0.25">
      <c r="A55" s="451" t="s">
        <v>352</v>
      </c>
      <c r="B55" s="451"/>
      <c r="C55" s="451"/>
      <c r="D55" s="451"/>
      <c r="E55" s="451"/>
      <c r="F55" s="451"/>
      <c r="G55" s="451"/>
      <c r="H55" s="451"/>
      <c r="I55" s="451"/>
      <c r="J55" s="388" t="e">
        <f>COUNTIFS(#REF!,"&gt;=01/01/2020",#REF!, "&lt;=01/31/2020")</f>
        <v>#REF!</v>
      </c>
      <c r="K55" s="388"/>
      <c r="L55" s="388"/>
      <c r="M55" s="388"/>
      <c r="N55" s="388"/>
      <c r="O55" s="388"/>
      <c r="P55" s="388"/>
      <c r="Q55" s="388"/>
      <c r="R55" s="388"/>
      <c r="S55" s="388"/>
      <c r="T55" s="368" t="e">
        <f>COUNTIFS(#REF!,"&gt;=01/01/2020",#REF!, "&lt;=01/31/2020",#REF!, "YES")</f>
        <v>#REF!</v>
      </c>
      <c r="U55" s="368"/>
      <c r="V55" s="368"/>
      <c r="W55" s="368"/>
      <c r="X55" s="368"/>
      <c r="Y55" s="368"/>
      <c r="Z55" s="368"/>
      <c r="AA55" s="368"/>
      <c r="AB55" s="368"/>
      <c r="AC55" s="368"/>
      <c r="AD55" s="451" t="s">
        <v>352</v>
      </c>
      <c r="AE55" s="451"/>
      <c r="AF55" s="451"/>
      <c r="AG55" s="451"/>
      <c r="AH55" s="451"/>
      <c r="AI55" s="451"/>
      <c r="AJ55" s="451"/>
      <c r="AK55" s="451"/>
      <c r="AL55" s="451"/>
      <c r="AM55" s="368" t="e">
        <f>COUNTIFS(#REF!,"&gt;=01/01/2020",#REF!, "&lt;=01/31/2020")</f>
        <v>#REF!</v>
      </c>
      <c r="AN55" s="368"/>
      <c r="AO55" s="368"/>
      <c r="AP55" s="368"/>
      <c r="AQ55" s="368"/>
      <c r="AR55" s="368"/>
      <c r="AS55" s="368"/>
      <c r="AT55" s="368"/>
      <c r="AU55" s="368"/>
      <c r="AV55" s="368"/>
      <c r="AW55" s="451" t="s">
        <v>352</v>
      </c>
      <c r="AX55" s="451"/>
      <c r="AY55" s="451"/>
      <c r="AZ55" s="451"/>
      <c r="BA55" s="451"/>
      <c r="BB55" s="451"/>
      <c r="BC55" s="451"/>
      <c r="BD55" s="451"/>
      <c r="BE55" s="451"/>
      <c r="BF55" s="368" t="e">
        <f>COUNTIFS(#REF!,"&gt;=01/01/2020",#REF!, "&lt;=01/31/2020")</f>
        <v>#REF!</v>
      </c>
      <c r="BG55" s="368"/>
      <c r="BH55" s="368"/>
      <c r="BI55" s="368"/>
      <c r="BJ55" s="368"/>
      <c r="BK55" s="368"/>
      <c r="BL55" s="368"/>
      <c r="BM55" s="368"/>
      <c r="BN55" s="368"/>
      <c r="BO55" s="368"/>
      <c r="BP55" s="250" t="e">
        <f>COUNTIFS(#REF!,"&gt;=01/01/2020",#REF!, "&lt;=01/31/2020",#REF!, "YES",#REF!, "Phone")</f>
        <v>#REF!</v>
      </c>
      <c r="BQ55" s="251"/>
      <c r="BR55" s="251"/>
      <c r="BS55" s="252"/>
      <c r="BT55" s="250" t="e">
        <f>COUNTIFS(#REF!,"&gt;=01/01/2020",#REF!, "&lt;=01/31/2020",#REF!, "YES",#REF!, "face-to-face")</f>
        <v>#REF!</v>
      </c>
      <c r="BU55" s="251"/>
      <c r="BV55" s="251"/>
      <c r="BW55" s="252"/>
      <c r="BX55" s="250" t="e">
        <f>COUNTIFS(#REF!,"&gt;=01/01/2020",#REF!, "&lt;=01/31/2020",#REF!, "YES",#REF!, "text messages")</f>
        <v>#REF!</v>
      </c>
      <c r="BY55" s="251"/>
      <c r="BZ55" s="251"/>
      <c r="CA55" s="252"/>
      <c r="CB55" s="250" t="e">
        <f>COUNTIFS(#REF!,"&gt;=01/01/2020",#REF!, "&lt;=01/31/2020",#REF!, "YES",#REF!, "other")</f>
        <v>#REF!</v>
      </c>
      <c r="CC55" s="251"/>
      <c r="CD55" s="251"/>
      <c r="CE55" s="252"/>
    </row>
    <row r="56" spans="1:84" x14ac:dyDescent="0.25">
      <c r="A56" s="451" t="s">
        <v>353</v>
      </c>
      <c r="B56" s="451"/>
      <c r="C56" s="451"/>
      <c r="D56" s="451"/>
      <c r="E56" s="451"/>
      <c r="F56" s="451"/>
      <c r="G56" s="451"/>
      <c r="H56" s="451"/>
      <c r="I56" s="451"/>
      <c r="J56" s="388" t="e">
        <f>COUNTIFS(#REF!,"&gt;=02/01/2020",#REF!, "&lt;=02/28/2020")</f>
        <v>#REF!</v>
      </c>
      <c r="K56" s="388"/>
      <c r="L56" s="388"/>
      <c r="M56" s="388"/>
      <c r="N56" s="388"/>
      <c r="O56" s="388"/>
      <c r="P56" s="388"/>
      <c r="Q56" s="388"/>
      <c r="R56" s="388"/>
      <c r="S56" s="388"/>
      <c r="T56" s="368" t="e">
        <f>COUNTIFS(#REF!,"&gt;=02/01/2020",#REF!, "&lt;=02/29/2020",#REF!, "YES")</f>
        <v>#REF!</v>
      </c>
      <c r="U56" s="368"/>
      <c r="V56" s="368"/>
      <c r="W56" s="368"/>
      <c r="X56" s="368"/>
      <c r="Y56" s="368"/>
      <c r="Z56" s="368"/>
      <c r="AA56" s="368"/>
      <c r="AB56" s="368"/>
      <c r="AC56" s="368"/>
      <c r="AD56" s="451" t="s">
        <v>353</v>
      </c>
      <c r="AE56" s="451"/>
      <c r="AF56" s="451"/>
      <c r="AG56" s="451"/>
      <c r="AH56" s="451"/>
      <c r="AI56" s="451"/>
      <c r="AJ56" s="451"/>
      <c r="AK56" s="451"/>
      <c r="AL56" s="451"/>
      <c r="AM56" s="368" t="e">
        <f>COUNTIFS(#REF!,"&gt;=02/01/2020",#REF!, "&lt;=02/28/2020")</f>
        <v>#REF!</v>
      </c>
      <c r="AN56" s="368"/>
      <c r="AO56" s="368"/>
      <c r="AP56" s="368"/>
      <c r="AQ56" s="368"/>
      <c r="AR56" s="368"/>
      <c r="AS56" s="368"/>
      <c r="AT56" s="368"/>
      <c r="AU56" s="368"/>
      <c r="AV56" s="368"/>
      <c r="AW56" s="451" t="s">
        <v>353</v>
      </c>
      <c r="AX56" s="451"/>
      <c r="AY56" s="451"/>
      <c r="AZ56" s="451"/>
      <c r="BA56" s="451"/>
      <c r="BB56" s="451"/>
      <c r="BC56" s="451"/>
      <c r="BD56" s="451"/>
      <c r="BE56" s="451"/>
      <c r="BF56" s="368" t="e">
        <f>COUNTIFS(#REF!,"&gt;=02/01/2020",#REF!, "&lt;=02/28/2020")</f>
        <v>#REF!</v>
      </c>
      <c r="BG56" s="368"/>
      <c r="BH56" s="368"/>
      <c r="BI56" s="368"/>
      <c r="BJ56" s="368"/>
      <c r="BK56" s="368"/>
      <c r="BL56" s="368"/>
      <c r="BM56" s="368"/>
      <c r="BN56" s="368"/>
      <c r="BO56" s="368"/>
      <c r="BP56" s="250" t="e">
        <f>COUNTIFS(#REF!,"&gt;=02/01/2020",#REF!, "&lt;=02/29/2020",#REF!, "YES",#REF!, "Phone")</f>
        <v>#REF!</v>
      </c>
      <c r="BQ56" s="251"/>
      <c r="BR56" s="251"/>
      <c r="BS56" s="252"/>
      <c r="BT56" s="250" t="e">
        <f>COUNTIFS(#REF!,"&gt;=02/01/2020",#REF!, "&lt;=02/29/2020",#REF!, "YES",#REF!, "face-to-face")</f>
        <v>#REF!</v>
      </c>
      <c r="BU56" s="251"/>
      <c r="BV56" s="251"/>
      <c r="BW56" s="252"/>
      <c r="BX56" s="250" t="e">
        <f>COUNTIFS(#REF!,"&gt;=02/01/2020",#REF!, "&lt;=02/29/2020",#REF!, "YES",#REF!, "text messages")</f>
        <v>#REF!</v>
      </c>
      <c r="BY56" s="251"/>
      <c r="BZ56" s="251"/>
      <c r="CA56" s="252"/>
      <c r="CB56" s="250" t="e">
        <f>COUNTIFS(#REF!,"&gt;=02/01/2020",#REF!, "&lt;=02/29/2020",#REF!, "YES",#REF!, "other")</f>
        <v>#REF!</v>
      </c>
      <c r="CC56" s="251"/>
      <c r="CD56" s="251"/>
      <c r="CE56" s="252"/>
    </row>
    <row r="57" spans="1:84" x14ac:dyDescent="0.25">
      <c r="A57" s="451" t="s">
        <v>354</v>
      </c>
      <c r="B57" s="451"/>
      <c r="C57" s="451"/>
      <c r="D57" s="451"/>
      <c r="E57" s="451"/>
      <c r="F57" s="451"/>
      <c r="G57" s="451"/>
      <c r="H57" s="451"/>
      <c r="I57" s="451"/>
      <c r="J57" s="388" t="e">
        <f>COUNTIFS(#REF!,"&gt;=03/01/2020",#REF!, "&lt;=03/31/2020")</f>
        <v>#REF!</v>
      </c>
      <c r="K57" s="388"/>
      <c r="L57" s="388"/>
      <c r="M57" s="388"/>
      <c r="N57" s="388"/>
      <c r="O57" s="388"/>
      <c r="P57" s="388"/>
      <c r="Q57" s="388"/>
      <c r="R57" s="388"/>
      <c r="S57" s="388"/>
      <c r="T57" s="388" t="e">
        <f>COUNTIFS(#REF!,"&gt;=03/01/2020",#REF!, "&lt;=03/31/2020",#REF!, "YES")</f>
        <v>#REF!</v>
      </c>
      <c r="U57" s="388"/>
      <c r="V57" s="388"/>
      <c r="W57" s="388"/>
      <c r="X57" s="388"/>
      <c r="Y57" s="388"/>
      <c r="Z57" s="388"/>
      <c r="AA57" s="388"/>
      <c r="AB57" s="388"/>
      <c r="AC57" s="388"/>
      <c r="AD57" s="451" t="s">
        <v>354</v>
      </c>
      <c r="AE57" s="451"/>
      <c r="AF57" s="451"/>
      <c r="AG57" s="451"/>
      <c r="AH57" s="451"/>
      <c r="AI57" s="451"/>
      <c r="AJ57" s="451"/>
      <c r="AK57" s="451"/>
      <c r="AL57" s="451"/>
      <c r="AM57" s="368" t="e">
        <f>COUNTIFS(#REF!,"&gt;=03/01/2020",#REF!, "&lt;=03/31/2020")</f>
        <v>#REF!</v>
      </c>
      <c r="AN57" s="368"/>
      <c r="AO57" s="368"/>
      <c r="AP57" s="368"/>
      <c r="AQ57" s="368"/>
      <c r="AR57" s="368"/>
      <c r="AS57" s="368"/>
      <c r="AT57" s="368"/>
      <c r="AU57" s="368"/>
      <c r="AV57" s="368"/>
      <c r="AW57" s="451" t="s">
        <v>354</v>
      </c>
      <c r="AX57" s="451"/>
      <c r="AY57" s="451"/>
      <c r="AZ57" s="451"/>
      <c r="BA57" s="451"/>
      <c r="BB57" s="451"/>
      <c r="BC57" s="451"/>
      <c r="BD57" s="451"/>
      <c r="BE57" s="451"/>
      <c r="BF57" s="368" t="e">
        <f>COUNTIFS(#REF!,"&gt;=03/01/2020",#REF!, "&lt;=03/31/2020")</f>
        <v>#REF!</v>
      </c>
      <c r="BG57" s="368"/>
      <c r="BH57" s="368"/>
      <c r="BI57" s="368"/>
      <c r="BJ57" s="368"/>
      <c r="BK57" s="368"/>
      <c r="BL57" s="368"/>
      <c r="BM57" s="368"/>
      <c r="BN57" s="368"/>
      <c r="BO57" s="368"/>
      <c r="BP57" s="250" t="e">
        <f>COUNTIFS(#REF!,"&gt;=03/01/2020",#REF!, "&lt;=03/31/2020",#REF!, "YES",#REF!, "Phone")</f>
        <v>#REF!</v>
      </c>
      <c r="BQ57" s="251"/>
      <c r="BR57" s="251"/>
      <c r="BS57" s="252"/>
      <c r="BT57" s="250" t="e">
        <f>COUNTIFS(#REF!,"&gt;=03/01/2020",#REF!, "&lt;=03/31/2020",#REF!, "YES",#REF!, "face-to-face")</f>
        <v>#REF!</v>
      </c>
      <c r="BU57" s="251"/>
      <c r="BV57" s="251"/>
      <c r="BW57" s="252"/>
      <c r="BX57" s="250" t="e">
        <f>COUNTIFS(#REF!,"&gt;=03/01/2020",#REF!, "&lt;=03/31/2020",#REF!, "YES",#REF!, "text messages")</f>
        <v>#REF!</v>
      </c>
      <c r="BY57" s="251"/>
      <c r="BZ57" s="251"/>
      <c r="CA57" s="252"/>
      <c r="CB57" s="250" t="e">
        <f>COUNTIFS(#REF!,"&gt;=03/01/2020",#REF!, "&lt;=03/31/2020",#REF!, "YES",#REF!, "other")</f>
        <v>#REF!</v>
      </c>
      <c r="CC57" s="251"/>
      <c r="CD57" s="251"/>
      <c r="CE57" s="252"/>
    </row>
    <row r="58" spans="1:84" x14ac:dyDescent="0.25">
      <c r="A58" s="451" t="s">
        <v>355</v>
      </c>
      <c r="B58" s="451"/>
      <c r="C58" s="451"/>
      <c r="D58" s="451"/>
      <c r="E58" s="451"/>
      <c r="F58" s="451"/>
      <c r="G58" s="451"/>
      <c r="H58" s="451"/>
      <c r="I58" s="451"/>
      <c r="J58" s="388" t="e">
        <f>COUNTIFS(#REF!,"&gt;=04/01/2020",#REF!, "&lt;=04/30/2020")</f>
        <v>#REF!</v>
      </c>
      <c r="K58" s="388"/>
      <c r="L58" s="388"/>
      <c r="M58" s="388"/>
      <c r="N58" s="388"/>
      <c r="O58" s="388"/>
      <c r="P58" s="388"/>
      <c r="Q58" s="388"/>
      <c r="R58" s="388"/>
      <c r="S58" s="388"/>
      <c r="T58" s="388" t="e">
        <f>COUNTIFS(#REF!,"&gt;=04/01/2020",#REF!, "&lt;=04/30/2020",#REF!, "YES")</f>
        <v>#REF!</v>
      </c>
      <c r="U58" s="388"/>
      <c r="V58" s="388"/>
      <c r="W58" s="388"/>
      <c r="X58" s="388"/>
      <c r="Y58" s="388"/>
      <c r="Z58" s="388"/>
      <c r="AA58" s="388"/>
      <c r="AB58" s="388"/>
      <c r="AC58" s="388"/>
      <c r="AD58" s="451" t="s">
        <v>355</v>
      </c>
      <c r="AE58" s="451"/>
      <c r="AF58" s="451"/>
      <c r="AG58" s="451"/>
      <c r="AH58" s="451"/>
      <c r="AI58" s="451"/>
      <c r="AJ58" s="451"/>
      <c r="AK58" s="451"/>
      <c r="AL58" s="451"/>
      <c r="AM58" s="368" t="e">
        <f>COUNTIFS(#REF!,"&gt;=04/01/2020",#REF!, "&lt;=04/30/2020")</f>
        <v>#REF!</v>
      </c>
      <c r="AN58" s="368"/>
      <c r="AO58" s="368"/>
      <c r="AP58" s="368"/>
      <c r="AQ58" s="368"/>
      <c r="AR58" s="368"/>
      <c r="AS58" s="368"/>
      <c r="AT58" s="368"/>
      <c r="AU58" s="368"/>
      <c r="AV58" s="368"/>
      <c r="AW58" s="451" t="s">
        <v>355</v>
      </c>
      <c r="AX58" s="451"/>
      <c r="AY58" s="451"/>
      <c r="AZ58" s="451"/>
      <c r="BA58" s="451"/>
      <c r="BB58" s="451"/>
      <c r="BC58" s="451"/>
      <c r="BD58" s="451"/>
      <c r="BE58" s="451"/>
      <c r="BF58" s="368" t="e">
        <f>COUNTIFS(#REF!,"&gt;=04/01/2020",#REF!, "&lt;=04/30/2020")</f>
        <v>#REF!</v>
      </c>
      <c r="BG58" s="368"/>
      <c r="BH58" s="368"/>
      <c r="BI58" s="368"/>
      <c r="BJ58" s="368"/>
      <c r="BK58" s="368"/>
      <c r="BL58" s="368"/>
      <c r="BM58" s="368"/>
      <c r="BN58" s="368"/>
      <c r="BO58" s="368"/>
      <c r="BP58" s="250" t="e">
        <f>COUNTIFS(#REF!,"&gt;=04/01/2020",#REF!, "&lt;=04/30/2020",#REF!, "YES",#REF!, "Phone")</f>
        <v>#REF!</v>
      </c>
      <c r="BQ58" s="251"/>
      <c r="BR58" s="251"/>
      <c r="BS58" s="252"/>
      <c r="BT58" s="250" t="e">
        <f>COUNTIFS(#REF!,"&gt;=04/01/2020",#REF!, "&lt;=04/30/2020",#REF!, "YES",#REF!, "face-to-face")</f>
        <v>#REF!</v>
      </c>
      <c r="BU58" s="251"/>
      <c r="BV58" s="251"/>
      <c r="BW58" s="252"/>
      <c r="BX58" s="250" t="e">
        <f>COUNTIFS(#REF!,"&gt;=04/01/2020",#REF!, "&lt;=04/30/2020",#REF!, "YES",#REF!, "text messages")</f>
        <v>#REF!</v>
      </c>
      <c r="BY58" s="251"/>
      <c r="BZ58" s="251"/>
      <c r="CA58" s="252"/>
      <c r="CB58" s="250" t="e">
        <f>COUNTIFS(#REF!,"&gt;=04/01/2020",#REF!, "&lt;=04/30/2020",#REF!, "YES",#REF!, "other")</f>
        <v>#REF!</v>
      </c>
      <c r="CC58" s="251"/>
      <c r="CD58" s="251"/>
      <c r="CE58" s="252"/>
    </row>
    <row r="59" spans="1:84" x14ac:dyDescent="0.25">
      <c r="A59" s="451" t="s">
        <v>363</v>
      </c>
      <c r="B59" s="451"/>
      <c r="C59" s="451"/>
      <c r="D59" s="451"/>
      <c r="E59" s="451"/>
      <c r="F59" s="451"/>
      <c r="G59" s="451"/>
      <c r="H59" s="451"/>
      <c r="I59" s="451"/>
      <c r="J59" s="388" t="e">
        <f>COUNTIFS(#REF!,"&gt;=05/01/2020",#REF!, "&lt;=05/31/2020")</f>
        <v>#REF!</v>
      </c>
      <c r="K59" s="388"/>
      <c r="L59" s="388"/>
      <c r="M59" s="388"/>
      <c r="N59" s="388"/>
      <c r="O59" s="388"/>
      <c r="P59" s="388"/>
      <c r="Q59" s="388"/>
      <c r="R59" s="388"/>
      <c r="S59" s="388"/>
      <c r="T59" s="388" t="e">
        <f>COUNTIFS(#REF!,"&gt;=05/01/2020",#REF!, "&lt;=05/31/2020",#REF!, "YES")</f>
        <v>#REF!</v>
      </c>
      <c r="U59" s="388"/>
      <c r="V59" s="388"/>
      <c r="W59" s="388"/>
      <c r="X59" s="388"/>
      <c r="Y59" s="388"/>
      <c r="Z59" s="388"/>
      <c r="AA59" s="388"/>
      <c r="AB59" s="388"/>
      <c r="AC59" s="388"/>
      <c r="AD59" s="451" t="s">
        <v>363</v>
      </c>
      <c r="AE59" s="451"/>
      <c r="AF59" s="451"/>
      <c r="AG59" s="451"/>
      <c r="AH59" s="451"/>
      <c r="AI59" s="451"/>
      <c r="AJ59" s="451"/>
      <c r="AK59" s="451"/>
      <c r="AL59" s="451"/>
      <c r="AM59" s="368" t="e">
        <f>COUNTIFS(#REF!,"&gt;=05/01/2020",#REF!, "&lt;=05/31/2020")</f>
        <v>#REF!</v>
      </c>
      <c r="AN59" s="368"/>
      <c r="AO59" s="368"/>
      <c r="AP59" s="368"/>
      <c r="AQ59" s="368"/>
      <c r="AR59" s="368"/>
      <c r="AS59" s="368"/>
      <c r="AT59" s="368"/>
      <c r="AU59" s="368"/>
      <c r="AV59" s="368"/>
      <c r="AW59" s="451" t="s">
        <v>363</v>
      </c>
      <c r="AX59" s="451"/>
      <c r="AY59" s="451"/>
      <c r="AZ59" s="451"/>
      <c r="BA59" s="451"/>
      <c r="BB59" s="451"/>
      <c r="BC59" s="451"/>
      <c r="BD59" s="451"/>
      <c r="BE59" s="451"/>
      <c r="BF59" s="368" t="e">
        <f>COUNTIFS(#REF!,"&gt;=05/01/2020",#REF!, "&lt;=05/31/2020")</f>
        <v>#REF!</v>
      </c>
      <c r="BG59" s="368"/>
      <c r="BH59" s="368"/>
      <c r="BI59" s="368"/>
      <c r="BJ59" s="368"/>
      <c r="BK59" s="368"/>
      <c r="BL59" s="368"/>
      <c r="BM59" s="368"/>
      <c r="BN59" s="368"/>
      <c r="BO59" s="368"/>
      <c r="BP59" s="250" t="e">
        <f>COUNTIFS(#REF!,"&gt;=05/01/2020",#REF!, "&lt;=05/31/2020",#REF!, "YES",#REF!, "Phone")</f>
        <v>#REF!</v>
      </c>
      <c r="BQ59" s="251"/>
      <c r="BR59" s="251"/>
      <c r="BS59" s="252"/>
      <c r="BT59" s="250" t="e">
        <f>COUNTIFS(#REF!,"&gt;=05/01/2020",#REF!, "&lt;=05/31/2020",#REF!, "YES",#REF!, "face-to-face")</f>
        <v>#REF!</v>
      </c>
      <c r="BU59" s="251"/>
      <c r="BV59" s="251"/>
      <c r="BW59" s="252"/>
      <c r="BX59" s="250" t="e">
        <f>COUNTIFS(#REF!,"&gt;=05/01/2020",#REF!, "&lt;=05/31/2020",#REF!, "YES",#REF!, "text messages")</f>
        <v>#REF!</v>
      </c>
      <c r="BY59" s="251"/>
      <c r="BZ59" s="251"/>
      <c r="CA59" s="252"/>
      <c r="CB59" s="250" t="e">
        <f>COUNTIFS(#REF!,"&gt;=05/01/2020",#REF!, "&lt;=05/31/2020",#REF!, "YES",#REF!, "other")</f>
        <v>#REF!</v>
      </c>
      <c r="CC59" s="251"/>
      <c r="CD59" s="251"/>
      <c r="CE59" s="252"/>
    </row>
    <row r="60" spans="1:84" x14ac:dyDescent="0.25">
      <c r="A60" s="451" t="s">
        <v>356</v>
      </c>
      <c r="B60" s="451"/>
      <c r="C60" s="451"/>
      <c r="D60" s="451"/>
      <c r="E60" s="451"/>
      <c r="F60" s="451"/>
      <c r="G60" s="451"/>
      <c r="H60" s="451"/>
      <c r="I60" s="451"/>
      <c r="J60" s="388" t="e">
        <f>COUNTIFS(#REF!,"&gt;=06/01/2020",#REF!, "&lt;=06/30/2020")</f>
        <v>#REF!</v>
      </c>
      <c r="K60" s="388"/>
      <c r="L60" s="388"/>
      <c r="M60" s="388"/>
      <c r="N60" s="388"/>
      <c r="O60" s="388"/>
      <c r="P60" s="388"/>
      <c r="Q60" s="388"/>
      <c r="R60" s="388"/>
      <c r="S60" s="388"/>
      <c r="T60" s="388" t="e">
        <f>COUNTIFS(#REF!,"&gt;=06/01/2020",#REF!, "&lt;=06/30/2020",#REF!, "YES")</f>
        <v>#REF!</v>
      </c>
      <c r="U60" s="388"/>
      <c r="V60" s="388"/>
      <c r="W60" s="388"/>
      <c r="X60" s="388"/>
      <c r="Y60" s="388"/>
      <c r="Z60" s="388"/>
      <c r="AA60" s="388"/>
      <c r="AB60" s="388"/>
      <c r="AC60" s="388"/>
      <c r="AD60" s="451" t="s">
        <v>356</v>
      </c>
      <c r="AE60" s="451"/>
      <c r="AF60" s="451"/>
      <c r="AG60" s="451"/>
      <c r="AH60" s="451"/>
      <c r="AI60" s="451"/>
      <c r="AJ60" s="451"/>
      <c r="AK60" s="451"/>
      <c r="AL60" s="451"/>
      <c r="AM60" s="368" t="e">
        <f>COUNTIFS(#REF!,"&gt;=06/01/2020",#REF!, "&lt;=06/30/2020")</f>
        <v>#REF!</v>
      </c>
      <c r="AN60" s="368"/>
      <c r="AO60" s="368"/>
      <c r="AP60" s="368"/>
      <c r="AQ60" s="368"/>
      <c r="AR60" s="368"/>
      <c r="AS60" s="368"/>
      <c r="AT60" s="368"/>
      <c r="AU60" s="368"/>
      <c r="AV60" s="368"/>
      <c r="AW60" s="451" t="s">
        <v>356</v>
      </c>
      <c r="AX60" s="451"/>
      <c r="AY60" s="451"/>
      <c r="AZ60" s="451"/>
      <c r="BA60" s="451"/>
      <c r="BB60" s="451"/>
      <c r="BC60" s="451"/>
      <c r="BD60" s="451"/>
      <c r="BE60" s="451"/>
      <c r="BF60" s="368" t="e">
        <f>COUNTIFS(#REF!,"&gt;=06/01/2020",#REF!, "&lt;=06/30/2020")</f>
        <v>#REF!</v>
      </c>
      <c r="BG60" s="368"/>
      <c r="BH60" s="368"/>
      <c r="BI60" s="368"/>
      <c r="BJ60" s="368"/>
      <c r="BK60" s="368"/>
      <c r="BL60" s="368"/>
      <c r="BM60" s="368"/>
      <c r="BN60" s="368"/>
      <c r="BO60" s="368"/>
      <c r="BP60" s="250" t="e">
        <f>COUNTIFS(#REF!,"&gt;=06/01/2020",#REF!, "&lt;=06/30/2020",#REF!, "YES",#REF!, "Phone")</f>
        <v>#REF!</v>
      </c>
      <c r="BQ60" s="251"/>
      <c r="BR60" s="251"/>
      <c r="BS60" s="252"/>
      <c r="BT60" s="250" t="e">
        <f>COUNTIFS(#REF!,"&gt;=06/01/2020",#REF!, "&lt;=06/30/2020",#REF!, "YES",#REF!, "face-to-face")</f>
        <v>#REF!</v>
      </c>
      <c r="BU60" s="251"/>
      <c r="BV60" s="251"/>
      <c r="BW60" s="252"/>
      <c r="BX60" s="250" t="e">
        <f>COUNTIFS(#REF!,"&gt;=06/01/2020",#REF!, "&lt;=06/30/2020",#REF!, "YES",#REF!, "text messages")</f>
        <v>#REF!</v>
      </c>
      <c r="BY60" s="251"/>
      <c r="BZ60" s="251"/>
      <c r="CA60" s="252"/>
      <c r="CB60" s="250" t="e">
        <f>COUNTIFS(#REF!,"&gt;=06/01/2020",#REF!, "&lt;=06/30/2020",#REF!, "YES",#REF!, "other")</f>
        <v>#REF!</v>
      </c>
      <c r="CC60" s="251"/>
      <c r="CD60" s="251"/>
      <c r="CE60" s="252"/>
    </row>
    <row r="61" spans="1:84" x14ac:dyDescent="0.25">
      <c r="A61" s="451" t="s">
        <v>357</v>
      </c>
      <c r="B61" s="451"/>
      <c r="C61" s="451"/>
      <c r="D61" s="451"/>
      <c r="E61" s="451"/>
      <c r="F61" s="451"/>
      <c r="G61" s="451"/>
      <c r="H61" s="451"/>
      <c r="I61" s="451"/>
      <c r="J61" s="388" t="e">
        <f>COUNTIFS(#REF!,"&gt;=07/01/2020",#REF!, "&lt;=07/31/2020")</f>
        <v>#REF!</v>
      </c>
      <c r="K61" s="388"/>
      <c r="L61" s="388"/>
      <c r="M61" s="388"/>
      <c r="N61" s="388"/>
      <c r="O61" s="388"/>
      <c r="P61" s="388"/>
      <c r="Q61" s="388"/>
      <c r="R61" s="388"/>
      <c r="S61" s="388"/>
      <c r="T61" s="388" t="e">
        <f>COUNTIFS(#REF!,"&gt;=07/01/2020",#REF!, "&lt;=07/31/2020",#REF!, "YES")</f>
        <v>#REF!</v>
      </c>
      <c r="U61" s="388"/>
      <c r="V61" s="388"/>
      <c r="W61" s="388"/>
      <c r="X61" s="388"/>
      <c r="Y61" s="388"/>
      <c r="Z61" s="388"/>
      <c r="AA61" s="388"/>
      <c r="AB61" s="388"/>
      <c r="AC61" s="388"/>
      <c r="AD61" s="451" t="s">
        <v>357</v>
      </c>
      <c r="AE61" s="451"/>
      <c r="AF61" s="451"/>
      <c r="AG61" s="451"/>
      <c r="AH61" s="451"/>
      <c r="AI61" s="451"/>
      <c r="AJ61" s="451"/>
      <c r="AK61" s="451"/>
      <c r="AL61" s="451"/>
      <c r="AM61" s="368" t="e">
        <f>COUNTIFS(#REF!,"&gt;=07/01/2020",#REF!, "&lt;=07/31/2020")</f>
        <v>#REF!</v>
      </c>
      <c r="AN61" s="368"/>
      <c r="AO61" s="368"/>
      <c r="AP61" s="368"/>
      <c r="AQ61" s="368"/>
      <c r="AR61" s="368"/>
      <c r="AS61" s="368"/>
      <c r="AT61" s="368"/>
      <c r="AU61" s="368"/>
      <c r="AV61" s="368"/>
      <c r="AW61" s="451" t="s">
        <v>357</v>
      </c>
      <c r="AX61" s="451"/>
      <c r="AY61" s="451"/>
      <c r="AZ61" s="451"/>
      <c r="BA61" s="451"/>
      <c r="BB61" s="451"/>
      <c r="BC61" s="451"/>
      <c r="BD61" s="451"/>
      <c r="BE61" s="451"/>
      <c r="BF61" s="368" t="e">
        <f>COUNTIFS(#REF!,"&gt;=07/01/2020",#REF!, "&lt;=07/31/2020")</f>
        <v>#REF!</v>
      </c>
      <c r="BG61" s="368"/>
      <c r="BH61" s="368"/>
      <c r="BI61" s="368"/>
      <c r="BJ61" s="368"/>
      <c r="BK61" s="368"/>
      <c r="BL61" s="368"/>
      <c r="BM61" s="368"/>
      <c r="BN61" s="368"/>
      <c r="BO61" s="368"/>
      <c r="BP61" s="250" t="e">
        <f>COUNTIFS(#REF!,"&gt;=07/01/2020",#REF!, "&lt;=07/31/2020",#REF!, "YES",#REF!, "Phone")</f>
        <v>#REF!</v>
      </c>
      <c r="BQ61" s="251"/>
      <c r="BR61" s="251"/>
      <c r="BS61" s="252"/>
      <c r="BT61" s="250" t="e">
        <f>COUNTIFS(#REF!,"&gt;=07/01/2020",#REF!, "&lt;=07/31/2020",#REF!, "YES",#REF!, "face-to-face")</f>
        <v>#REF!</v>
      </c>
      <c r="BU61" s="251"/>
      <c r="BV61" s="251"/>
      <c r="BW61" s="252"/>
      <c r="BX61" s="250" t="e">
        <f>COUNTIFS(#REF!,"&gt;=07/01/2020",#REF!, "&lt;=07/31/2020",#REF!, "YES",#REF!, "text messages")</f>
        <v>#REF!</v>
      </c>
      <c r="BY61" s="251"/>
      <c r="BZ61" s="251"/>
      <c r="CA61" s="252"/>
      <c r="CB61" s="250" t="e">
        <f>COUNTIFS(#REF!,"&gt;=07/01/2020",#REF!, "&lt;=07/31/2020",#REF!, "YES",#REF!, "other")</f>
        <v>#REF!</v>
      </c>
      <c r="CC61" s="251"/>
      <c r="CD61" s="251"/>
      <c r="CE61" s="252"/>
    </row>
    <row r="62" spans="1:84" x14ac:dyDescent="0.25">
      <c r="A62" s="451" t="s">
        <v>358</v>
      </c>
      <c r="B62" s="451"/>
      <c r="C62" s="451"/>
      <c r="D62" s="451"/>
      <c r="E62" s="451"/>
      <c r="F62" s="451"/>
      <c r="G62" s="451"/>
      <c r="H62" s="451"/>
      <c r="I62" s="451"/>
      <c r="J62" s="388" t="e">
        <f>COUNTIFS(#REF!,"&gt;=08/01/2020",#REF!, "&lt;=08/31/2020")</f>
        <v>#REF!</v>
      </c>
      <c r="K62" s="388"/>
      <c r="L62" s="388"/>
      <c r="M62" s="388"/>
      <c r="N62" s="388"/>
      <c r="O62" s="388"/>
      <c r="P62" s="388"/>
      <c r="Q62" s="388"/>
      <c r="R62" s="388"/>
      <c r="S62" s="388"/>
      <c r="T62" s="388" t="e">
        <f>COUNTIFS(#REF!,"&gt;=08/01/2020",#REF!, "&lt;=08/31/2020",#REF!, "YES")</f>
        <v>#REF!</v>
      </c>
      <c r="U62" s="388"/>
      <c r="V62" s="388"/>
      <c r="W62" s="388"/>
      <c r="X62" s="388"/>
      <c r="Y62" s="388"/>
      <c r="Z62" s="388"/>
      <c r="AA62" s="388"/>
      <c r="AB62" s="388"/>
      <c r="AC62" s="388"/>
      <c r="AD62" s="451" t="s">
        <v>358</v>
      </c>
      <c r="AE62" s="451"/>
      <c r="AF62" s="451"/>
      <c r="AG62" s="451"/>
      <c r="AH62" s="451"/>
      <c r="AI62" s="451"/>
      <c r="AJ62" s="451"/>
      <c r="AK62" s="451"/>
      <c r="AL62" s="451"/>
      <c r="AM62" s="368" t="e">
        <f>COUNTIFS(#REF!,"&gt;=08/01/2020",#REF!, "&lt;=08/31/2020")</f>
        <v>#REF!</v>
      </c>
      <c r="AN62" s="368"/>
      <c r="AO62" s="368"/>
      <c r="AP62" s="368"/>
      <c r="AQ62" s="368"/>
      <c r="AR62" s="368"/>
      <c r="AS62" s="368"/>
      <c r="AT62" s="368"/>
      <c r="AU62" s="368"/>
      <c r="AV62" s="368"/>
      <c r="AW62" s="451" t="s">
        <v>358</v>
      </c>
      <c r="AX62" s="451"/>
      <c r="AY62" s="451"/>
      <c r="AZ62" s="451"/>
      <c r="BA62" s="451"/>
      <c r="BB62" s="451"/>
      <c r="BC62" s="451"/>
      <c r="BD62" s="451"/>
      <c r="BE62" s="451"/>
      <c r="BF62" s="368" t="e">
        <f>COUNTIFS(#REF!,"&gt;=09/01/2020",#REF!, "&lt;=09/30/2020")</f>
        <v>#REF!</v>
      </c>
      <c r="BG62" s="368"/>
      <c r="BH62" s="368"/>
      <c r="BI62" s="368"/>
      <c r="BJ62" s="368"/>
      <c r="BK62" s="368"/>
      <c r="BL62" s="368"/>
      <c r="BM62" s="368"/>
      <c r="BN62" s="368"/>
      <c r="BO62" s="368"/>
      <c r="BP62" s="250" t="e">
        <f>COUNTIFS(#REF!,"&gt;=08/01/2020",#REF!, "&lt;=08/31/2020",#REF!, "YES",#REF!, "Phone")</f>
        <v>#REF!</v>
      </c>
      <c r="BQ62" s="251"/>
      <c r="BR62" s="251"/>
      <c r="BS62" s="252"/>
      <c r="BT62" s="250" t="e">
        <f>COUNTIFS(#REF!,"&gt;=08/01/2020",#REF!, "&lt;=08/31/2020",#REF!, "YES",#REF!, "face-to-face")</f>
        <v>#REF!</v>
      </c>
      <c r="BU62" s="251"/>
      <c r="BV62" s="251"/>
      <c r="BW62" s="252"/>
      <c r="BX62" s="250" t="e">
        <f>COUNTIFS(#REF!,"&gt;=08/01/2020",#REF!, "&lt;=08/31/2020",#REF!, "YES",#REF!, "text messages")</f>
        <v>#REF!</v>
      </c>
      <c r="BY62" s="251"/>
      <c r="BZ62" s="251"/>
      <c r="CA62" s="252"/>
      <c r="CB62" s="250" t="e">
        <f>COUNTIFS(#REF!,"&gt;=08/01/2020",#REF!, "&lt;=08/31/2020",#REF!, "YES",#REF!, "other")</f>
        <v>#REF!</v>
      </c>
      <c r="CC62" s="251"/>
      <c r="CD62" s="251"/>
      <c r="CE62" s="252"/>
    </row>
    <row r="63" spans="1:84" x14ac:dyDescent="0.25">
      <c r="A63" s="451" t="s">
        <v>359</v>
      </c>
      <c r="B63" s="451"/>
      <c r="C63" s="451"/>
      <c r="D63" s="451"/>
      <c r="E63" s="451"/>
      <c r="F63" s="451"/>
      <c r="G63" s="451"/>
      <c r="H63" s="451"/>
      <c r="I63" s="451"/>
      <c r="J63" s="388" t="e">
        <f>COUNTIFS(#REF!,"&gt;=09/01/2020",#REF!, "&lt;=09/30/2020")</f>
        <v>#REF!</v>
      </c>
      <c r="K63" s="388"/>
      <c r="L63" s="388"/>
      <c r="M63" s="388"/>
      <c r="N63" s="388"/>
      <c r="O63" s="388"/>
      <c r="P63" s="388"/>
      <c r="Q63" s="388"/>
      <c r="R63" s="388"/>
      <c r="S63" s="388"/>
      <c r="T63" s="388" t="e">
        <f>COUNTIFS(#REF!,"&gt;=09/01/2020",#REF!, "&lt;=09/30/2020",#REF!, "YES")</f>
        <v>#REF!</v>
      </c>
      <c r="U63" s="388"/>
      <c r="V63" s="388"/>
      <c r="W63" s="388"/>
      <c r="X63" s="388"/>
      <c r="Y63" s="388"/>
      <c r="Z63" s="388"/>
      <c r="AA63" s="388"/>
      <c r="AB63" s="388"/>
      <c r="AC63" s="388"/>
      <c r="AD63" s="451" t="s">
        <v>359</v>
      </c>
      <c r="AE63" s="451"/>
      <c r="AF63" s="451"/>
      <c r="AG63" s="451"/>
      <c r="AH63" s="451"/>
      <c r="AI63" s="451"/>
      <c r="AJ63" s="451"/>
      <c r="AK63" s="451"/>
      <c r="AL63" s="451"/>
      <c r="AM63" s="368" t="e">
        <f>COUNTIFS(#REF!,"&gt;=09/01/2020",#REF!, "&lt;=09/30/2020")</f>
        <v>#REF!</v>
      </c>
      <c r="AN63" s="368"/>
      <c r="AO63" s="368"/>
      <c r="AP63" s="368"/>
      <c r="AQ63" s="368"/>
      <c r="AR63" s="368"/>
      <c r="AS63" s="368"/>
      <c r="AT63" s="368"/>
      <c r="AU63" s="368"/>
      <c r="AV63" s="368"/>
      <c r="AW63" s="451" t="s">
        <v>359</v>
      </c>
      <c r="AX63" s="451"/>
      <c r="AY63" s="451"/>
      <c r="AZ63" s="451"/>
      <c r="BA63" s="451"/>
      <c r="BB63" s="451"/>
      <c r="BC63" s="451"/>
      <c r="BD63" s="451"/>
      <c r="BE63" s="451"/>
      <c r="BF63" s="368" t="e">
        <f>COUNTIFS(#REF!,"&gt;=09/01/2020",#REF!, "&lt;=09/30/2020")</f>
        <v>#REF!</v>
      </c>
      <c r="BG63" s="368"/>
      <c r="BH63" s="368"/>
      <c r="BI63" s="368"/>
      <c r="BJ63" s="368"/>
      <c r="BK63" s="368"/>
      <c r="BL63" s="368"/>
      <c r="BM63" s="368"/>
      <c r="BN63" s="368"/>
      <c r="BO63" s="368"/>
      <c r="BP63" s="250" t="e">
        <f>COUNTIFS(#REF!,"&gt;=09/01/2020",#REF!, "&lt;=09/30/2020",#REF!, "YES",#REF!, "Phone")</f>
        <v>#REF!</v>
      </c>
      <c r="BQ63" s="251"/>
      <c r="BR63" s="251"/>
      <c r="BS63" s="252"/>
      <c r="BT63" s="250" t="e">
        <f>COUNTIFS(#REF!,"&gt;=09/01/2020",#REF!, "&lt;=09/30/2020",#REF!, "YES",#REF!, "face-to-face")</f>
        <v>#REF!</v>
      </c>
      <c r="BU63" s="251"/>
      <c r="BV63" s="251"/>
      <c r="BW63" s="252"/>
      <c r="BX63" s="250" t="e">
        <f>COUNTIFS(#REF!,"&gt;=09/01/2020",#REF!, "&lt;=09/30/2020",#REF!, "YES",#REF!, "text messages")</f>
        <v>#REF!</v>
      </c>
      <c r="BY63" s="251"/>
      <c r="BZ63" s="251"/>
      <c r="CA63" s="252"/>
      <c r="CB63" s="250" t="e">
        <f>COUNTIFS(#REF!,"&gt;=09/01/2020",#REF!, "&lt;=09/30/2020",#REF!, "YES",#REF!, "other")</f>
        <v>#REF!</v>
      </c>
      <c r="CC63" s="251"/>
      <c r="CD63" s="251"/>
      <c r="CE63" s="252"/>
    </row>
    <row r="64" spans="1:84" x14ac:dyDescent="0.25">
      <c r="A64" s="466" t="s">
        <v>360</v>
      </c>
      <c r="B64" s="466"/>
      <c r="C64" s="466"/>
      <c r="D64" s="466"/>
      <c r="E64" s="466"/>
      <c r="F64" s="466"/>
      <c r="G64" s="466"/>
      <c r="H64" s="466"/>
      <c r="I64" s="466"/>
      <c r="J64" s="383" t="e">
        <f>COUNTIFS(#REF!,"&gt;=10/01/2020",#REF!, "&lt;=10/31/2020")</f>
        <v>#REF!</v>
      </c>
      <c r="K64" s="383"/>
      <c r="L64" s="383"/>
      <c r="M64" s="383"/>
      <c r="N64" s="383"/>
      <c r="O64" s="383"/>
      <c r="P64" s="383"/>
      <c r="Q64" s="383"/>
      <c r="R64" s="383"/>
      <c r="S64" s="383"/>
      <c r="T64" s="383" t="e">
        <f>COUNTIFS(#REF!,"&gt;=10/01/2020",#REF!, "&lt;=10/31/2020",#REF!, "YES")</f>
        <v>#REF!</v>
      </c>
      <c r="U64" s="383"/>
      <c r="V64" s="383"/>
      <c r="W64" s="383"/>
      <c r="X64" s="383"/>
      <c r="Y64" s="383"/>
      <c r="Z64" s="383"/>
      <c r="AA64" s="383"/>
      <c r="AB64" s="383"/>
      <c r="AC64" s="383"/>
      <c r="AD64" s="466" t="s">
        <v>360</v>
      </c>
      <c r="AE64" s="466"/>
      <c r="AF64" s="466"/>
      <c r="AG64" s="466"/>
      <c r="AH64" s="466"/>
      <c r="AI64" s="466"/>
      <c r="AJ64" s="466"/>
      <c r="AK64" s="466"/>
      <c r="AL64" s="466"/>
      <c r="AM64" s="379" t="e">
        <f>COUNTIFS(#REF!,"&gt;=10/01/2020",#REF!, "&lt;=10/31/2020")</f>
        <v>#REF!</v>
      </c>
      <c r="AN64" s="379"/>
      <c r="AO64" s="379"/>
      <c r="AP64" s="379"/>
      <c r="AQ64" s="379"/>
      <c r="AR64" s="379"/>
      <c r="AS64" s="379"/>
      <c r="AT64" s="379"/>
      <c r="AU64" s="379"/>
      <c r="AV64" s="379"/>
      <c r="AW64" s="466" t="s">
        <v>360</v>
      </c>
      <c r="AX64" s="466"/>
      <c r="AY64" s="466"/>
      <c r="AZ64" s="466"/>
      <c r="BA64" s="466"/>
      <c r="BB64" s="466"/>
      <c r="BC64" s="466"/>
      <c r="BD64" s="466"/>
      <c r="BE64" s="466"/>
      <c r="BF64" s="379" t="e">
        <f>COUNTIFS(#REF!,"&gt;=10/01/2020",#REF!, "&lt;=10/31/2020")</f>
        <v>#REF!</v>
      </c>
      <c r="BG64" s="379"/>
      <c r="BH64" s="379"/>
      <c r="BI64" s="379"/>
      <c r="BJ64" s="379"/>
      <c r="BK64" s="379"/>
      <c r="BL64" s="379"/>
      <c r="BM64" s="379"/>
      <c r="BN64" s="379"/>
      <c r="BO64" s="379"/>
      <c r="BP64" s="467" t="e">
        <f>COUNTIFS(#REF!,"&gt;=10/01/2020",#REF!, "&lt;=10/31/2020",#REF!, "YES",#REF!, "Phone")</f>
        <v>#REF!</v>
      </c>
      <c r="BQ64" s="468"/>
      <c r="BR64" s="468"/>
      <c r="BS64" s="469"/>
      <c r="BT64" s="467" t="e">
        <f>COUNTIFS(#REF!,"&gt;=10/01/2020",#REF!, "&lt;=10/31/2020",#REF!, "YES",#REF!, "face-to-face")</f>
        <v>#REF!</v>
      </c>
      <c r="BU64" s="468"/>
      <c r="BV64" s="468"/>
      <c r="BW64" s="469"/>
      <c r="BX64" s="467" t="e">
        <f>COUNTIFS(#REF!,"&gt;=10/01/2020",#REF!, "&lt;=10/31/2020",#REF!, "YES",#REF!, "text messages")</f>
        <v>#REF!</v>
      </c>
      <c r="BY64" s="468"/>
      <c r="BZ64" s="468"/>
      <c r="CA64" s="469"/>
      <c r="CB64" s="467" t="e">
        <f>COUNTIFS(#REF!,"&gt;=10/01/2020",#REF!, "&lt;=10/31/2020",#REF!, "YES",#REF!, "other")</f>
        <v>#REF!</v>
      </c>
      <c r="CC64" s="468"/>
      <c r="CD64" s="468"/>
      <c r="CE64" s="469"/>
    </row>
    <row r="65" spans="1:83" x14ac:dyDescent="0.25">
      <c r="A65" s="466" t="s">
        <v>361</v>
      </c>
      <c r="B65" s="466"/>
      <c r="C65" s="466"/>
      <c r="D65" s="466"/>
      <c r="E65" s="466"/>
      <c r="F65" s="466"/>
      <c r="G65" s="466"/>
      <c r="H65" s="466"/>
      <c r="I65" s="466"/>
      <c r="J65" s="383" t="e">
        <f>COUNTIFS(#REF!,"&gt;=11/01/2020",#REF!, "&lt;=11/30/2020")</f>
        <v>#REF!</v>
      </c>
      <c r="K65" s="383"/>
      <c r="L65" s="383"/>
      <c r="M65" s="383"/>
      <c r="N65" s="383"/>
      <c r="O65" s="383"/>
      <c r="P65" s="383"/>
      <c r="Q65" s="383"/>
      <c r="R65" s="383"/>
      <c r="S65" s="383"/>
      <c r="T65" s="383" t="e">
        <f>COUNTIFS(#REF!,"&gt;=11/01/2020",#REF!, "&lt;=11/30/2020",#REF!, "YES")</f>
        <v>#REF!</v>
      </c>
      <c r="U65" s="383"/>
      <c r="V65" s="383"/>
      <c r="W65" s="383"/>
      <c r="X65" s="383"/>
      <c r="Y65" s="383"/>
      <c r="Z65" s="383"/>
      <c r="AA65" s="383"/>
      <c r="AB65" s="383"/>
      <c r="AC65" s="383"/>
      <c r="AD65" s="466" t="s">
        <v>361</v>
      </c>
      <c r="AE65" s="466"/>
      <c r="AF65" s="466"/>
      <c r="AG65" s="466"/>
      <c r="AH65" s="466"/>
      <c r="AI65" s="466"/>
      <c r="AJ65" s="466"/>
      <c r="AK65" s="466"/>
      <c r="AL65" s="466"/>
      <c r="AM65" s="379" t="e">
        <f>COUNTIFS(#REF!,"&gt;=11/01/2020",#REF!, "&lt;=11/30/2020")</f>
        <v>#REF!</v>
      </c>
      <c r="AN65" s="379"/>
      <c r="AO65" s="379"/>
      <c r="AP65" s="379"/>
      <c r="AQ65" s="379"/>
      <c r="AR65" s="379"/>
      <c r="AS65" s="379"/>
      <c r="AT65" s="379"/>
      <c r="AU65" s="379"/>
      <c r="AV65" s="379"/>
      <c r="AW65" s="466" t="s">
        <v>361</v>
      </c>
      <c r="AX65" s="466"/>
      <c r="AY65" s="466"/>
      <c r="AZ65" s="466"/>
      <c r="BA65" s="466"/>
      <c r="BB65" s="466"/>
      <c r="BC65" s="466"/>
      <c r="BD65" s="466"/>
      <c r="BE65" s="466"/>
      <c r="BF65" s="379" t="e">
        <f>COUNTIFS(#REF!,"&gt;=11/01/2020",#REF!, "&lt;=11/30/2020")</f>
        <v>#REF!</v>
      </c>
      <c r="BG65" s="379"/>
      <c r="BH65" s="379"/>
      <c r="BI65" s="379"/>
      <c r="BJ65" s="379"/>
      <c r="BK65" s="379"/>
      <c r="BL65" s="379"/>
      <c r="BM65" s="379"/>
      <c r="BN65" s="379"/>
      <c r="BO65" s="379"/>
      <c r="BP65" s="467" t="e">
        <f>COUNTIFS(#REF!,"&gt;=11/01/2020",#REF!, "&lt;=11/30/2020",#REF!, "YES",#REF!, "Phone")</f>
        <v>#REF!</v>
      </c>
      <c r="BQ65" s="468"/>
      <c r="BR65" s="468"/>
      <c r="BS65" s="469"/>
      <c r="BT65" s="467" t="e">
        <f>COUNTIFS(#REF!,"&gt;=11/01/2020",#REF!, "&lt;=11/30/2020",#REF!, "YES",#REF!, "face-to-face")</f>
        <v>#REF!</v>
      </c>
      <c r="BU65" s="468"/>
      <c r="BV65" s="468"/>
      <c r="BW65" s="469"/>
      <c r="BX65" s="467" t="e">
        <f>COUNTIFS(#REF!,"&gt;=11/01/2020",#REF!, "&lt;=11/30/2020",#REF!, "YES",#REF!, "text messages")</f>
        <v>#REF!</v>
      </c>
      <c r="BY65" s="468"/>
      <c r="BZ65" s="468"/>
      <c r="CA65" s="469"/>
      <c r="CB65" s="467" t="e">
        <f>COUNTIFS(#REF!,"&gt;=11/01/2020",#REF!, "&lt;=11/30/2020",#REF!, "YES",#REF!, "other")</f>
        <v>#REF!</v>
      </c>
      <c r="CC65" s="468"/>
      <c r="CD65" s="468"/>
      <c r="CE65" s="469"/>
    </row>
    <row r="66" spans="1:83" x14ac:dyDescent="0.25">
      <c r="A66" s="466" t="s">
        <v>362</v>
      </c>
      <c r="B66" s="466"/>
      <c r="C66" s="466"/>
      <c r="D66" s="466"/>
      <c r="E66" s="466"/>
      <c r="F66" s="466"/>
      <c r="G66" s="466"/>
      <c r="H66" s="466"/>
      <c r="I66" s="466"/>
      <c r="J66" s="383" t="e">
        <f>COUNTIFS(#REF!,"&gt;=12/01/2020",#REF!, "&lt;=12/31/2020")</f>
        <v>#REF!</v>
      </c>
      <c r="K66" s="383"/>
      <c r="L66" s="383"/>
      <c r="M66" s="383"/>
      <c r="N66" s="383"/>
      <c r="O66" s="383"/>
      <c r="P66" s="383"/>
      <c r="Q66" s="383"/>
      <c r="R66" s="383"/>
      <c r="S66" s="383"/>
      <c r="T66" s="383" t="e">
        <f>COUNTIFS(#REF!,"&gt;=12/01/2020",#REF!, "&lt;=12/31/2020",#REF!, "YES")</f>
        <v>#REF!</v>
      </c>
      <c r="U66" s="383"/>
      <c r="V66" s="383"/>
      <c r="W66" s="383"/>
      <c r="X66" s="383"/>
      <c r="Y66" s="383"/>
      <c r="Z66" s="383"/>
      <c r="AA66" s="383"/>
      <c r="AB66" s="383"/>
      <c r="AC66" s="383"/>
      <c r="AD66" s="466" t="s">
        <v>362</v>
      </c>
      <c r="AE66" s="466"/>
      <c r="AF66" s="466"/>
      <c r="AG66" s="466"/>
      <c r="AH66" s="466"/>
      <c r="AI66" s="466"/>
      <c r="AJ66" s="466"/>
      <c r="AK66" s="466"/>
      <c r="AL66" s="466"/>
      <c r="AM66" s="379" t="e">
        <f>COUNTIFS(#REF!,"&gt;=12/01/2020",#REF!, "&lt;=12/31/2020")</f>
        <v>#REF!</v>
      </c>
      <c r="AN66" s="379"/>
      <c r="AO66" s="379"/>
      <c r="AP66" s="379"/>
      <c r="AQ66" s="379"/>
      <c r="AR66" s="379"/>
      <c r="AS66" s="379"/>
      <c r="AT66" s="379"/>
      <c r="AU66" s="379"/>
      <c r="AV66" s="379"/>
      <c r="AW66" s="466" t="s">
        <v>362</v>
      </c>
      <c r="AX66" s="466"/>
      <c r="AY66" s="466"/>
      <c r="AZ66" s="466"/>
      <c r="BA66" s="466"/>
      <c r="BB66" s="466"/>
      <c r="BC66" s="466"/>
      <c r="BD66" s="466"/>
      <c r="BE66" s="466"/>
      <c r="BF66" s="379" t="e">
        <f>COUNTIFS(#REF!,"&gt;=12/01/2020",#REF!, "&lt;=12/31/2020")</f>
        <v>#REF!</v>
      </c>
      <c r="BG66" s="379"/>
      <c r="BH66" s="379"/>
      <c r="BI66" s="379"/>
      <c r="BJ66" s="379"/>
      <c r="BK66" s="379"/>
      <c r="BL66" s="379"/>
      <c r="BM66" s="379"/>
      <c r="BN66" s="379"/>
      <c r="BO66" s="379"/>
      <c r="BP66" s="467" t="e">
        <f>COUNTIFS(#REF!,"&gt;=12/01/2020",#REF!, "&lt;=12/31/2020",#REF!, "YES",#REF!, "Phone")</f>
        <v>#REF!</v>
      </c>
      <c r="BQ66" s="468"/>
      <c r="BR66" s="468"/>
      <c r="BS66" s="469"/>
      <c r="BT66" s="467" t="e">
        <f>COUNTIFS(#REF!,"&gt;=12/01/2020",#REF!, "&lt;=12/31/2020",#REF!, "YES",#REF!, "face-to-face")</f>
        <v>#REF!</v>
      </c>
      <c r="BU66" s="468"/>
      <c r="BV66" s="468"/>
      <c r="BW66" s="469"/>
      <c r="BX66" s="467" t="e">
        <f>COUNTIFS(#REF!,"&gt;=12/01/2020",#REF!, "&lt;=12/31/2020",#REF!, "YES",#REF!, "text messages")</f>
        <v>#REF!</v>
      </c>
      <c r="BY66" s="468"/>
      <c r="BZ66" s="468"/>
      <c r="CA66" s="469"/>
      <c r="CB66" s="467" t="e">
        <f>COUNTIFS(#REF!,"&gt;=12/01/2020",#REF!, "&lt;=12/31/2020",#REF!, "YES",#REF!, "other")</f>
        <v>#REF!</v>
      </c>
      <c r="CC66" s="468"/>
      <c r="CD66" s="468"/>
      <c r="CE66" s="469"/>
    </row>
    <row r="67" spans="1:83" x14ac:dyDescent="0.25">
      <c r="A67" s="389" t="s">
        <v>390</v>
      </c>
      <c r="B67" s="389"/>
      <c r="C67" s="389"/>
      <c r="D67" s="389"/>
      <c r="E67" s="389"/>
      <c r="F67" s="389"/>
      <c r="G67" s="389"/>
      <c r="H67" s="389"/>
      <c r="I67" s="389"/>
      <c r="J67" s="383" t="e">
        <f>COUNTIFS(#REF!,"&gt;=01/01/2021",#REF!, "&lt;=01/31/2021")</f>
        <v>#REF!</v>
      </c>
      <c r="K67" s="383"/>
      <c r="L67" s="383"/>
      <c r="M67" s="383"/>
      <c r="N67" s="383"/>
      <c r="O67" s="383"/>
      <c r="P67" s="383"/>
      <c r="Q67" s="383"/>
      <c r="R67" s="383"/>
      <c r="S67" s="383"/>
      <c r="T67" s="383" t="e">
        <f>COUNTIFS(#REF!,"&gt;=01/01/2021",#REF!, "&lt;=01/31/2021",#REF!, "YES")</f>
        <v>#REF!</v>
      </c>
      <c r="U67" s="383"/>
      <c r="V67" s="383"/>
      <c r="W67" s="383"/>
      <c r="X67" s="383"/>
      <c r="Y67" s="383"/>
      <c r="Z67" s="383"/>
      <c r="AA67" s="383"/>
      <c r="AB67" s="383"/>
      <c r="AC67" s="383"/>
      <c r="AD67" s="389" t="s">
        <v>389</v>
      </c>
      <c r="AE67" s="389"/>
      <c r="AF67" s="389"/>
      <c r="AG67" s="389"/>
      <c r="AH67" s="389"/>
      <c r="AI67" s="389"/>
      <c r="AJ67" s="389"/>
      <c r="AK67" s="389"/>
      <c r="AL67" s="389"/>
      <c r="AM67" s="379" t="e">
        <f>COUNTIFS(#REF!,"&gt;=01/01/2021",#REF!, "&lt;=01/31/2021")</f>
        <v>#REF!</v>
      </c>
      <c r="AN67" s="379"/>
      <c r="AO67" s="379"/>
      <c r="AP67" s="379"/>
      <c r="AQ67" s="379"/>
      <c r="AR67" s="379"/>
      <c r="AS67" s="379"/>
      <c r="AT67" s="379"/>
      <c r="AU67" s="379"/>
      <c r="AV67" s="379"/>
      <c r="AW67" s="389" t="s">
        <v>389</v>
      </c>
      <c r="AX67" s="389"/>
      <c r="AY67" s="389"/>
      <c r="AZ67" s="389"/>
      <c r="BA67" s="389"/>
      <c r="BB67" s="389"/>
      <c r="BC67" s="389"/>
      <c r="BD67" s="389"/>
      <c r="BE67" s="389"/>
      <c r="BF67" s="379" t="e">
        <f>COUNTIFS(#REF!,"&gt;=01/01/2021",#REF!, "&lt;=01/31/2021")</f>
        <v>#REF!</v>
      </c>
      <c r="BG67" s="379"/>
      <c r="BH67" s="379"/>
      <c r="BI67" s="379"/>
      <c r="BJ67" s="379"/>
      <c r="BK67" s="379"/>
      <c r="BL67" s="379"/>
      <c r="BM67" s="379"/>
      <c r="BN67" s="379"/>
      <c r="BO67" s="379"/>
      <c r="BP67" s="467" t="e">
        <f>COUNTIFS(#REF!,"&gt;=01/01/2021",#REF!, "&lt;=01/31/2021",#REF!, "YES",#REF!, "Phone")</f>
        <v>#REF!</v>
      </c>
      <c r="BQ67" s="468"/>
      <c r="BR67" s="468"/>
      <c r="BS67" s="469"/>
      <c r="BT67" s="467" t="e">
        <f>COUNTIFS(#REF!,"&gt;=01/01/2021",#REF!, "&lt;=01/31/2021",#REF!, "YES",#REF!, "face-to-face")</f>
        <v>#REF!</v>
      </c>
      <c r="BU67" s="468"/>
      <c r="BV67" s="468"/>
      <c r="BW67" s="469"/>
      <c r="BX67" s="467" t="e">
        <f>COUNTIFS(#REF!,"&gt;=01/01/2021",#REF!, "&lt;=01/31/2021",#REF!, "YES",#REF!, "text messages")</f>
        <v>#REF!</v>
      </c>
      <c r="BY67" s="468"/>
      <c r="BZ67" s="468"/>
      <c r="CA67" s="469"/>
      <c r="CB67" s="467" t="e">
        <f>COUNTIFS(#REF!,"&gt;=01/01/2021",#REF!, "&lt;=01/31/2021",#REF!, "YES",#REF!, "other")</f>
        <v>#REF!</v>
      </c>
      <c r="CC67" s="468"/>
      <c r="CD67" s="468"/>
      <c r="CE67" s="469"/>
    </row>
    <row r="68" spans="1:83" x14ac:dyDescent="0.25">
      <c r="A68" s="389" t="s">
        <v>364</v>
      </c>
      <c r="B68" s="389"/>
      <c r="C68" s="389"/>
      <c r="D68" s="389"/>
      <c r="E68" s="389"/>
      <c r="F68" s="389"/>
      <c r="G68" s="389"/>
      <c r="H68" s="389"/>
      <c r="I68" s="389"/>
      <c r="J68" s="383" t="e">
        <f>COUNTIFS(#REF!,"&gt;=02/01/2021",#REF!, "&lt;=02/28/2021")</f>
        <v>#REF!</v>
      </c>
      <c r="K68" s="383"/>
      <c r="L68" s="383"/>
      <c r="M68" s="383"/>
      <c r="N68" s="383"/>
      <c r="O68" s="383"/>
      <c r="P68" s="383"/>
      <c r="Q68" s="383"/>
      <c r="R68" s="383"/>
      <c r="S68" s="383"/>
      <c r="T68" s="383" t="e">
        <f>COUNTIFS(#REF!,"&gt;=02/01/2021",#REF!, "&lt;=02/28/2021",#REF!, "YES")</f>
        <v>#REF!</v>
      </c>
      <c r="U68" s="383"/>
      <c r="V68" s="383"/>
      <c r="W68" s="383"/>
      <c r="X68" s="383"/>
      <c r="Y68" s="383"/>
      <c r="Z68" s="383"/>
      <c r="AA68" s="383"/>
      <c r="AB68" s="383"/>
      <c r="AC68" s="383"/>
      <c r="AD68" s="389" t="s">
        <v>364</v>
      </c>
      <c r="AE68" s="389"/>
      <c r="AF68" s="389"/>
      <c r="AG68" s="389"/>
      <c r="AH68" s="389"/>
      <c r="AI68" s="389"/>
      <c r="AJ68" s="389"/>
      <c r="AK68" s="389"/>
      <c r="AL68" s="389"/>
      <c r="AM68" s="379" t="e">
        <f>COUNTIFS(#REF!,"&gt;=02/01/2021",#REF!, "&lt;=02/28/2021")</f>
        <v>#REF!</v>
      </c>
      <c r="AN68" s="379"/>
      <c r="AO68" s="379"/>
      <c r="AP68" s="379"/>
      <c r="AQ68" s="379"/>
      <c r="AR68" s="379"/>
      <c r="AS68" s="379"/>
      <c r="AT68" s="379"/>
      <c r="AU68" s="379"/>
      <c r="AV68" s="379"/>
      <c r="AW68" s="389" t="s">
        <v>364</v>
      </c>
      <c r="AX68" s="389"/>
      <c r="AY68" s="389"/>
      <c r="AZ68" s="389"/>
      <c r="BA68" s="389"/>
      <c r="BB68" s="389"/>
      <c r="BC68" s="389"/>
      <c r="BD68" s="389"/>
      <c r="BE68" s="389"/>
      <c r="BF68" s="379" t="e">
        <f>COUNTIFS(#REF!,"&gt;=02/01/2021",#REF!, "&lt;=02/28/2021")</f>
        <v>#REF!</v>
      </c>
      <c r="BG68" s="379"/>
      <c r="BH68" s="379"/>
      <c r="BI68" s="379"/>
      <c r="BJ68" s="379"/>
      <c r="BK68" s="379"/>
      <c r="BL68" s="379"/>
      <c r="BM68" s="379"/>
      <c r="BN68" s="379"/>
      <c r="BO68" s="379"/>
      <c r="BP68" s="467" t="e">
        <f>COUNTIFS(#REF!,"&gt;=02/01/2021",#REF!, "&lt;=02/28/2021",#REF!, "YES",#REF!, "Phone")</f>
        <v>#REF!</v>
      </c>
      <c r="BQ68" s="468"/>
      <c r="BR68" s="468"/>
      <c r="BS68" s="469"/>
      <c r="BT68" s="467" t="e">
        <f>COUNTIFS(#REF!,"&gt;=02/01/2021",#REF!, "&lt;=02/28/2021",#REF!, "YES",#REF!, "face-to-face")</f>
        <v>#REF!</v>
      </c>
      <c r="BU68" s="468"/>
      <c r="BV68" s="468"/>
      <c r="BW68" s="469"/>
      <c r="BX68" s="467" t="e">
        <f>COUNTIFS(#REF!,"&gt;=02/01/2021",#REF!, "&lt;=02/28/2021",#REF!, "YES",#REF!, "text messages")</f>
        <v>#REF!</v>
      </c>
      <c r="BY68" s="468"/>
      <c r="BZ68" s="468"/>
      <c r="CA68" s="469"/>
      <c r="CB68" s="467" t="e">
        <f>COUNTIFS(#REF!,"&gt;=02/01/2021",#REF!, "&lt;=02/28/2021",#REF!, "YES",#REF!, "other")</f>
        <v>#REF!</v>
      </c>
      <c r="CC68" s="468"/>
      <c r="CD68" s="468"/>
      <c r="CE68" s="469"/>
    </row>
    <row r="69" spans="1:83" x14ac:dyDescent="0.25">
      <c r="A69" s="389" t="s">
        <v>375</v>
      </c>
      <c r="B69" s="389"/>
      <c r="C69" s="389"/>
      <c r="D69" s="389"/>
      <c r="E69" s="389"/>
      <c r="F69" s="389"/>
      <c r="G69" s="389"/>
      <c r="H69" s="389"/>
      <c r="I69" s="389"/>
      <c r="J69" s="383" t="e">
        <f>COUNTIFS(#REF!,"&gt;=03/01/2021",#REF!, "&lt;=03/31/2021")</f>
        <v>#REF!</v>
      </c>
      <c r="K69" s="383"/>
      <c r="L69" s="383"/>
      <c r="M69" s="383"/>
      <c r="N69" s="383"/>
      <c r="O69" s="383"/>
      <c r="P69" s="383"/>
      <c r="Q69" s="383"/>
      <c r="R69" s="383"/>
      <c r="S69" s="383"/>
      <c r="T69" s="383" t="e">
        <f>COUNTIFS(#REF!,"&gt;=03/01/2021",#REF!, "&lt;=03/31/2021",#REF!, "YES")</f>
        <v>#REF!</v>
      </c>
      <c r="U69" s="383"/>
      <c r="V69" s="383"/>
      <c r="W69" s="383"/>
      <c r="X69" s="383"/>
      <c r="Y69" s="383"/>
      <c r="Z69" s="383"/>
      <c r="AA69" s="383"/>
      <c r="AB69" s="383"/>
      <c r="AC69" s="383"/>
      <c r="AD69" s="389" t="s">
        <v>375</v>
      </c>
      <c r="AE69" s="389"/>
      <c r="AF69" s="389"/>
      <c r="AG69" s="389"/>
      <c r="AH69" s="389"/>
      <c r="AI69" s="389"/>
      <c r="AJ69" s="389"/>
      <c r="AK69" s="389"/>
      <c r="AL69" s="389"/>
      <c r="AM69" s="379" t="e">
        <f>COUNTIFS(#REF!,"&gt;=03/01/2021",#REF!, "&lt;=03/31/2021")</f>
        <v>#REF!</v>
      </c>
      <c r="AN69" s="379"/>
      <c r="AO69" s="379"/>
      <c r="AP69" s="379"/>
      <c r="AQ69" s="379"/>
      <c r="AR69" s="379"/>
      <c r="AS69" s="379"/>
      <c r="AT69" s="379"/>
      <c r="AU69" s="379"/>
      <c r="AV69" s="379"/>
      <c r="AW69" s="389" t="s">
        <v>375</v>
      </c>
      <c r="AX69" s="389"/>
      <c r="AY69" s="389"/>
      <c r="AZ69" s="389"/>
      <c r="BA69" s="389"/>
      <c r="BB69" s="389"/>
      <c r="BC69" s="389"/>
      <c r="BD69" s="389"/>
      <c r="BE69" s="389"/>
      <c r="BF69" s="379" t="e">
        <f>COUNTIFS(#REF!,"&gt;=03/01/2021",#REF!, "&lt;=03/31/2021")</f>
        <v>#REF!</v>
      </c>
      <c r="BG69" s="379"/>
      <c r="BH69" s="379"/>
      <c r="BI69" s="379"/>
      <c r="BJ69" s="379"/>
      <c r="BK69" s="379"/>
      <c r="BL69" s="379"/>
      <c r="BM69" s="379"/>
      <c r="BN69" s="379"/>
      <c r="BO69" s="379"/>
      <c r="BP69" s="467" t="e">
        <f>COUNTIFS(#REF!,"&gt;=03/01/2021",#REF!, "&lt;=03/31/2021",#REF!, "YES",#REF!, "Phone")</f>
        <v>#REF!</v>
      </c>
      <c r="BQ69" s="468"/>
      <c r="BR69" s="468"/>
      <c r="BS69" s="469"/>
      <c r="BT69" s="379" t="e">
        <f>COUNTIFS(#REF!,"&gt;=03/01/2021",#REF!, "&lt;=03/31/2021",#REF!, "YES",#REF!, "face-to-face")</f>
        <v>#REF!</v>
      </c>
      <c r="BU69" s="379"/>
      <c r="BV69" s="379"/>
      <c r="BW69" s="379"/>
      <c r="BX69" s="379" t="e">
        <f>COUNTIFS(#REF!,"&gt;=03/01/2021",#REF!, "&lt;=03/31/2021",#REF!, "YES",#REF!, "text messages")</f>
        <v>#REF!</v>
      </c>
      <c r="BY69" s="379"/>
      <c r="BZ69" s="379"/>
      <c r="CA69" s="379"/>
      <c r="CB69" s="379" t="e">
        <f>COUNTIFS(#REF!,"&gt;=03/01/2021",#REF!, "&lt;=03/31/2021",#REF!, "YES",#REF!, "other")</f>
        <v>#REF!</v>
      </c>
      <c r="CC69" s="379"/>
      <c r="CD69" s="379"/>
      <c r="CE69" s="379"/>
    </row>
    <row r="70" spans="1:83" x14ac:dyDescent="0.25">
      <c r="A70" s="389" t="s">
        <v>376</v>
      </c>
      <c r="B70" s="389"/>
      <c r="C70" s="389"/>
      <c r="D70" s="389"/>
      <c r="E70" s="389"/>
      <c r="F70" s="389"/>
      <c r="G70" s="389"/>
      <c r="H70" s="389"/>
      <c r="I70" s="389"/>
      <c r="J70" s="383" t="e">
        <f>COUNTIFS(#REF!,"&gt;=04/01/2021",#REF!, "&lt;=04/30/2021")</f>
        <v>#REF!</v>
      </c>
      <c r="K70" s="383"/>
      <c r="L70" s="383"/>
      <c r="M70" s="383"/>
      <c r="N70" s="383"/>
      <c r="O70" s="383"/>
      <c r="P70" s="383"/>
      <c r="Q70" s="383"/>
      <c r="R70" s="383"/>
      <c r="S70" s="383"/>
      <c r="T70" s="383" t="e">
        <f>COUNTIFS(#REF!,"&gt;=04/01/2021",#REF!, "&lt;=04/30/2021",#REF!, "YES")</f>
        <v>#REF!</v>
      </c>
      <c r="U70" s="383"/>
      <c r="V70" s="383"/>
      <c r="W70" s="383"/>
      <c r="X70" s="383"/>
      <c r="Y70" s="383"/>
      <c r="Z70" s="383"/>
      <c r="AA70" s="383"/>
      <c r="AB70" s="383"/>
      <c r="AC70" s="383"/>
      <c r="AD70" s="389" t="s">
        <v>376</v>
      </c>
      <c r="AE70" s="389"/>
      <c r="AF70" s="389"/>
      <c r="AG70" s="389"/>
      <c r="AH70" s="389"/>
      <c r="AI70" s="389"/>
      <c r="AJ70" s="389"/>
      <c r="AK70" s="389"/>
      <c r="AL70" s="389"/>
      <c r="AM70" s="379" t="e">
        <f>COUNTIFS(#REF!,"&gt;=04/01/2021",#REF!, "&lt;=04/30/2021")</f>
        <v>#REF!</v>
      </c>
      <c r="AN70" s="379"/>
      <c r="AO70" s="379"/>
      <c r="AP70" s="379"/>
      <c r="AQ70" s="379"/>
      <c r="AR70" s="379"/>
      <c r="AS70" s="379"/>
      <c r="AT70" s="379"/>
      <c r="AU70" s="379"/>
      <c r="AV70" s="379"/>
      <c r="AW70" s="389" t="s">
        <v>376</v>
      </c>
      <c r="AX70" s="389"/>
      <c r="AY70" s="389"/>
      <c r="AZ70" s="389"/>
      <c r="BA70" s="389"/>
      <c r="BB70" s="389"/>
      <c r="BC70" s="389"/>
      <c r="BD70" s="389"/>
      <c r="BE70" s="389"/>
      <c r="BF70" s="467" t="e">
        <f>COUNTIFS(#REF!,"&gt;=04/01/2021",#REF!, "&lt;=04/30/2021")</f>
        <v>#REF!</v>
      </c>
      <c r="BG70" s="468"/>
      <c r="BH70" s="468"/>
      <c r="BI70" s="468"/>
      <c r="BJ70" s="468"/>
      <c r="BK70" s="468"/>
      <c r="BL70" s="468"/>
      <c r="BM70" s="468"/>
      <c r="BN70" s="468"/>
      <c r="BO70" s="469"/>
      <c r="BP70" s="467" t="e">
        <f>COUNTIFS(#REF!,"&gt;=04/01/2021",#REF!, "&lt;=04/30/2021",#REF!, "YES",#REF!, "Phone")</f>
        <v>#REF!</v>
      </c>
      <c r="BQ70" s="468"/>
      <c r="BR70" s="468"/>
      <c r="BS70" s="469"/>
      <c r="BT70" s="379" t="e">
        <f>COUNTIFS(#REF!,"&gt;=04/01/2021",#REF!, "&lt;=04/30/2021",#REF!, "YES",#REF!, "face-to-face")</f>
        <v>#REF!</v>
      </c>
      <c r="BU70" s="379"/>
      <c r="BV70" s="379"/>
      <c r="BW70" s="379"/>
      <c r="BX70" s="379" t="e">
        <f>COUNTIFS(#REF!,"&gt;=04/01/2021",#REF!, "&lt;=04/30/2021",#REF!, "YES",#REF!, "text messages")</f>
        <v>#REF!</v>
      </c>
      <c r="BY70" s="379"/>
      <c r="BZ70" s="379"/>
      <c r="CA70" s="379"/>
      <c r="CB70" s="379" t="e">
        <f>COUNTIFS(#REF!,"&gt;=04/01/2021",#REF!, "&lt;=04/30/2021",#REF!, "YES",#REF!, "other")</f>
        <v>#REF!</v>
      </c>
      <c r="CC70" s="379"/>
      <c r="CD70" s="379"/>
      <c r="CE70" s="379"/>
    </row>
    <row r="71" spans="1:83" x14ac:dyDescent="0.25">
      <c r="A71" s="389" t="s">
        <v>365</v>
      </c>
      <c r="B71" s="389"/>
      <c r="C71" s="389"/>
      <c r="D71" s="389"/>
      <c r="E71" s="389"/>
      <c r="F71" s="389"/>
      <c r="G71" s="389"/>
      <c r="H71" s="389"/>
      <c r="I71" s="389"/>
      <c r="J71" s="383" t="e">
        <f>COUNTIFS(#REF!,"&gt;=05/01/2021",#REF!, "&lt;=05/31/2021")</f>
        <v>#REF!</v>
      </c>
      <c r="K71" s="383"/>
      <c r="L71" s="383"/>
      <c r="M71" s="383"/>
      <c r="N71" s="383"/>
      <c r="O71" s="383"/>
      <c r="P71" s="383"/>
      <c r="Q71" s="383"/>
      <c r="R71" s="383"/>
      <c r="S71" s="383"/>
      <c r="T71" s="383" t="e">
        <f>COUNTIFS(#REF!,"&gt;=05/01/2021",#REF!, "&lt;=05/31/2021",#REF!, "YES")</f>
        <v>#REF!</v>
      </c>
      <c r="U71" s="383"/>
      <c r="V71" s="383"/>
      <c r="W71" s="383"/>
      <c r="X71" s="383"/>
      <c r="Y71" s="383"/>
      <c r="Z71" s="383"/>
      <c r="AA71" s="383"/>
      <c r="AB71" s="383"/>
      <c r="AC71" s="383"/>
      <c r="AD71" s="389" t="s">
        <v>365</v>
      </c>
      <c r="AE71" s="389"/>
      <c r="AF71" s="389"/>
      <c r="AG71" s="389"/>
      <c r="AH71" s="389"/>
      <c r="AI71" s="389"/>
      <c r="AJ71" s="389"/>
      <c r="AK71" s="389"/>
      <c r="AL71" s="389"/>
      <c r="AM71" s="379" t="e">
        <f>COUNTIFS(#REF!,"&gt;=05/01/2021",#REF!, "&lt;=05/31/2021")</f>
        <v>#REF!</v>
      </c>
      <c r="AN71" s="379"/>
      <c r="AO71" s="379"/>
      <c r="AP71" s="379"/>
      <c r="AQ71" s="379"/>
      <c r="AR71" s="379"/>
      <c r="AS71" s="379"/>
      <c r="AT71" s="379"/>
      <c r="AU71" s="379"/>
      <c r="AV71" s="379"/>
      <c r="AW71" s="389" t="s">
        <v>365</v>
      </c>
      <c r="AX71" s="389"/>
      <c r="AY71" s="389"/>
      <c r="AZ71" s="389"/>
      <c r="BA71" s="389"/>
      <c r="BB71" s="389"/>
      <c r="BC71" s="389"/>
      <c r="BD71" s="389"/>
      <c r="BE71" s="389"/>
      <c r="BF71" s="379" t="e">
        <f>COUNTIFS(#REF!,"&gt;=05/01/2021",#REF!, "&lt;=05/31/2021")</f>
        <v>#REF!</v>
      </c>
      <c r="BG71" s="379"/>
      <c r="BH71" s="379"/>
      <c r="BI71" s="379"/>
      <c r="BJ71" s="379"/>
      <c r="BK71" s="379"/>
      <c r="BL71" s="379"/>
      <c r="BM71" s="379"/>
      <c r="BN71" s="379"/>
      <c r="BO71" s="379"/>
      <c r="BP71" s="467" t="e">
        <f>COUNTIFS(#REF!,"&gt;=05/01/2021",#REF!, "&lt;=05/31/2021",#REF!, "YES",#REF!, "Phone")</f>
        <v>#REF!</v>
      </c>
      <c r="BQ71" s="468"/>
      <c r="BR71" s="468"/>
      <c r="BS71" s="469"/>
      <c r="BT71" s="379" t="e">
        <f>COUNTIFS(#REF!,"&gt;=05/01/2021",#REF!, "&lt;=05/31/2021",#REF!, "YES",#REF!, "face-to-face")</f>
        <v>#REF!</v>
      </c>
      <c r="BU71" s="379"/>
      <c r="BV71" s="379"/>
      <c r="BW71" s="379"/>
      <c r="BX71" s="379" t="e">
        <f>COUNTIFS(#REF!,"&gt;=05/01/2021",#REF!, "&lt;=05/31/2021",#REF!, "YES",#REF!, "text messages")</f>
        <v>#REF!</v>
      </c>
      <c r="BY71" s="379"/>
      <c r="BZ71" s="379"/>
      <c r="CA71" s="379"/>
      <c r="CB71" s="379" t="e">
        <f>COUNTIFS(#REF!,"&gt;=05/01/2021",#REF!, "&lt;=05/31/2021",#REF!, "YES",#REF!, "other")</f>
        <v>#REF!</v>
      </c>
      <c r="CC71" s="379"/>
      <c r="CD71" s="379"/>
      <c r="CE71" s="379"/>
    </row>
    <row r="72" spans="1:83" x14ac:dyDescent="0.25">
      <c r="A72" s="389" t="s">
        <v>366</v>
      </c>
      <c r="B72" s="389"/>
      <c r="C72" s="389"/>
      <c r="D72" s="389"/>
      <c r="E72" s="389"/>
      <c r="F72" s="389"/>
      <c r="G72" s="389"/>
      <c r="H72" s="389"/>
      <c r="I72" s="389"/>
      <c r="J72" s="383" t="e">
        <f>COUNTIFS(#REF!,"&gt;=06/01/2021",#REF!, "&lt;=06/30/2021")</f>
        <v>#REF!</v>
      </c>
      <c r="K72" s="383"/>
      <c r="L72" s="383"/>
      <c r="M72" s="383"/>
      <c r="N72" s="383"/>
      <c r="O72" s="383"/>
      <c r="P72" s="383"/>
      <c r="Q72" s="383"/>
      <c r="R72" s="383"/>
      <c r="S72" s="383"/>
      <c r="T72" s="383" t="e">
        <f>COUNTIFS(#REF!,"&gt;=06/01/2021",#REF!, "&lt;=06/30/2021",#REF!, "YES")</f>
        <v>#REF!</v>
      </c>
      <c r="U72" s="383"/>
      <c r="V72" s="383"/>
      <c r="W72" s="383"/>
      <c r="X72" s="383"/>
      <c r="Y72" s="383"/>
      <c r="Z72" s="383"/>
      <c r="AA72" s="383"/>
      <c r="AB72" s="383"/>
      <c r="AC72" s="383"/>
      <c r="AD72" s="389" t="s">
        <v>366</v>
      </c>
      <c r="AE72" s="389"/>
      <c r="AF72" s="389"/>
      <c r="AG72" s="389"/>
      <c r="AH72" s="389"/>
      <c r="AI72" s="389"/>
      <c r="AJ72" s="389"/>
      <c r="AK72" s="389"/>
      <c r="AL72" s="389"/>
      <c r="AM72" s="379" t="e">
        <f>COUNTIFS(#REF!,"&gt;=06/01/2021",#REF!, "&lt;=06/30/2021")</f>
        <v>#REF!</v>
      </c>
      <c r="AN72" s="379"/>
      <c r="AO72" s="379"/>
      <c r="AP72" s="379"/>
      <c r="AQ72" s="379"/>
      <c r="AR72" s="379"/>
      <c r="AS72" s="379"/>
      <c r="AT72" s="379"/>
      <c r="AU72" s="379"/>
      <c r="AV72" s="379"/>
      <c r="AW72" s="389" t="s">
        <v>366</v>
      </c>
      <c r="AX72" s="389"/>
      <c r="AY72" s="389"/>
      <c r="AZ72" s="389"/>
      <c r="BA72" s="389"/>
      <c r="BB72" s="389"/>
      <c r="BC72" s="389"/>
      <c r="BD72" s="389"/>
      <c r="BE72" s="389"/>
      <c r="BF72" s="379" t="e">
        <f>COUNTIFS(#REF!,"&gt;=06/01/2021",#REF!, "&lt;=06/30/2021")</f>
        <v>#REF!</v>
      </c>
      <c r="BG72" s="379"/>
      <c r="BH72" s="379"/>
      <c r="BI72" s="379"/>
      <c r="BJ72" s="379"/>
      <c r="BK72" s="379"/>
      <c r="BL72" s="379"/>
      <c r="BM72" s="379"/>
      <c r="BN72" s="379"/>
      <c r="BO72" s="379"/>
      <c r="BP72" s="467" t="e">
        <f>COUNTIFS(#REF!,"&gt;=06/01/2021",#REF!, "&lt;=06/30/2021",#REF!, "YES",#REF!, "Phone")</f>
        <v>#REF!</v>
      </c>
      <c r="BQ72" s="468"/>
      <c r="BR72" s="468"/>
      <c r="BS72" s="469"/>
      <c r="BT72" s="379" t="e">
        <f>COUNTIFS(#REF!,"&gt;=06/01/2021",#REF!, "&lt;=06/30/2021",#REF!, "YES",#REF!, "face-to-face")</f>
        <v>#REF!</v>
      </c>
      <c r="BU72" s="379"/>
      <c r="BV72" s="379"/>
      <c r="BW72" s="379"/>
      <c r="BX72" s="379" t="e">
        <f>COUNTIFS(#REF!,"&gt;=06/01/2021",#REF!, "&lt;=06/30/2021",#REF!, "YES",#REF!, "text messages")</f>
        <v>#REF!</v>
      </c>
      <c r="BY72" s="379"/>
      <c r="BZ72" s="379"/>
      <c r="CA72" s="379"/>
      <c r="CB72" s="379" t="e">
        <f>COUNTIFS(#REF!,"&gt;=06/01/2021",#REF!, "&lt;=06/30/2021",#REF!, "YES",#REF!, "other")</f>
        <v>#REF!</v>
      </c>
      <c r="CC72" s="379"/>
      <c r="CD72" s="379"/>
      <c r="CE72" s="379"/>
    </row>
    <row r="73" spans="1:83" x14ac:dyDescent="0.25">
      <c r="A73" s="389" t="s">
        <v>368</v>
      </c>
      <c r="B73" s="389"/>
      <c r="C73" s="389"/>
      <c r="D73" s="389"/>
      <c r="E73" s="389"/>
      <c r="F73" s="389"/>
      <c r="G73" s="389"/>
      <c r="H73" s="389"/>
      <c r="I73" s="389"/>
      <c r="J73" s="383" t="e">
        <f>COUNTIFS(#REF!,"&gt;=07/01/2021",#REF!, "&lt;=07/31/2021")</f>
        <v>#REF!</v>
      </c>
      <c r="K73" s="383"/>
      <c r="L73" s="383"/>
      <c r="M73" s="383"/>
      <c r="N73" s="383"/>
      <c r="O73" s="383"/>
      <c r="P73" s="383"/>
      <c r="Q73" s="383"/>
      <c r="R73" s="383"/>
      <c r="S73" s="383"/>
      <c r="T73" s="383" t="e">
        <f>COUNTIFS(#REF!,"&gt;=07/01/2021",#REF!, "&lt;=07/31/2021",#REF!, "YES")</f>
        <v>#REF!</v>
      </c>
      <c r="U73" s="383"/>
      <c r="V73" s="383"/>
      <c r="W73" s="383"/>
      <c r="X73" s="383"/>
      <c r="Y73" s="383"/>
      <c r="Z73" s="383"/>
      <c r="AA73" s="383"/>
      <c r="AB73" s="383"/>
      <c r="AC73" s="383"/>
      <c r="AD73" s="389" t="s">
        <v>368</v>
      </c>
      <c r="AE73" s="389"/>
      <c r="AF73" s="389"/>
      <c r="AG73" s="389"/>
      <c r="AH73" s="389"/>
      <c r="AI73" s="389"/>
      <c r="AJ73" s="389"/>
      <c r="AK73" s="389"/>
      <c r="AL73" s="389"/>
      <c r="AM73" s="379" t="e">
        <f>COUNTIFS(#REF!,"&gt;=07/01/2021",#REF!, "&lt;=07/31/2021")</f>
        <v>#REF!</v>
      </c>
      <c r="AN73" s="379"/>
      <c r="AO73" s="379"/>
      <c r="AP73" s="379"/>
      <c r="AQ73" s="379"/>
      <c r="AR73" s="379"/>
      <c r="AS73" s="379"/>
      <c r="AT73" s="379"/>
      <c r="AU73" s="379"/>
      <c r="AV73" s="379"/>
      <c r="AW73" s="389" t="s">
        <v>368</v>
      </c>
      <c r="AX73" s="389"/>
      <c r="AY73" s="389"/>
      <c r="AZ73" s="389"/>
      <c r="BA73" s="389"/>
      <c r="BB73" s="389"/>
      <c r="BC73" s="389"/>
      <c r="BD73" s="389"/>
      <c r="BE73" s="389"/>
      <c r="BF73" s="379" t="e">
        <f>COUNTIFS(#REF!,"&gt;=07/01/2021",#REF!, "&lt;=07/31/2021")</f>
        <v>#REF!</v>
      </c>
      <c r="BG73" s="379"/>
      <c r="BH73" s="379"/>
      <c r="BI73" s="379"/>
      <c r="BJ73" s="379"/>
      <c r="BK73" s="379"/>
      <c r="BL73" s="379"/>
      <c r="BM73" s="379"/>
      <c r="BN73" s="379"/>
      <c r="BO73" s="379"/>
      <c r="BP73" s="467" t="e">
        <f>COUNTIFS(#REF!,"&gt;=07/01/2021",#REF!, "&lt;=07/31/2021",#REF!, "YES",#REF!, "Phone")</f>
        <v>#REF!</v>
      </c>
      <c r="BQ73" s="468"/>
      <c r="BR73" s="468"/>
      <c r="BS73" s="469"/>
      <c r="BT73" s="379" t="e">
        <f>COUNTIFS(#REF!,"&gt;=07/01/2021",#REF!, "&lt;=07/31/2021",#REF!, "YES",#REF!, "face-to-face")</f>
        <v>#REF!</v>
      </c>
      <c r="BU73" s="379"/>
      <c r="BV73" s="379"/>
      <c r="BW73" s="379"/>
      <c r="BX73" s="379" t="e">
        <f>COUNTIFS(#REF!,"&gt;=07/01/2021",#REF!, "&lt;=07/31/2021",#REF!, "YES",#REF!, "text messages")</f>
        <v>#REF!</v>
      </c>
      <c r="BY73" s="379"/>
      <c r="BZ73" s="379"/>
      <c r="CA73" s="379"/>
      <c r="CB73" s="379" t="e">
        <f>COUNTIFS(#REF!,"&gt;=07/01/2021",#REF!, "&lt;=07/31/2021",#REF!, "YES",#REF!, "other")</f>
        <v>#REF!</v>
      </c>
      <c r="CC73" s="379"/>
      <c r="CD73" s="379"/>
      <c r="CE73" s="379"/>
    </row>
    <row r="74" spans="1:83" x14ac:dyDescent="0.25">
      <c r="A74" s="389" t="s">
        <v>367</v>
      </c>
      <c r="B74" s="389"/>
      <c r="C74" s="389"/>
      <c r="D74" s="389"/>
      <c r="E74" s="389"/>
      <c r="F74" s="389"/>
      <c r="G74" s="389"/>
      <c r="H74" s="389"/>
      <c r="I74" s="389"/>
      <c r="J74" s="383" t="e">
        <f>COUNTIFS(#REF!,"&gt;=08/01/2021",#REF!, "&lt;=08/31/2021")</f>
        <v>#REF!</v>
      </c>
      <c r="K74" s="383"/>
      <c r="L74" s="383"/>
      <c r="M74" s="383"/>
      <c r="N74" s="383"/>
      <c r="O74" s="383"/>
      <c r="P74" s="383"/>
      <c r="Q74" s="383"/>
      <c r="R74" s="383"/>
      <c r="S74" s="383"/>
      <c r="T74" s="383" t="e">
        <f>COUNTIFS(#REF!,"&gt;=08/01/2021",#REF!, "&lt;=08/31/2021",#REF!, "YES")</f>
        <v>#REF!</v>
      </c>
      <c r="U74" s="383"/>
      <c r="V74" s="383"/>
      <c r="W74" s="383"/>
      <c r="X74" s="383"/>
      <c r="Y74" s="383"/>
      <c r="Z74" s="383"/>
      <c r="AA74" s="383"/>
      <c r="AB74" s="383"/>
      <c r="AC74" s="383"/>
      <c r="AD74" s="389" t="s">
        <v>367</v>
      </c>
      <c r="AE74" s="389"/>
      <c r="AF74" s="389"/>
      <c r="AG74" s="389"/>
      <c r="AH74" s="389"/>
      <c r="AI74" s="389"/>
      <c r="AJ74" s="389"/>
      <c r="AK74" s="389"/>
      <c r="AL74" s="389"/>
      <c r="AM74" s="379" t="e">
        <f>COUNTIFS(#REF!,"&gt;=08/01/2021",#REF!, "&lt;=08/31/2021")</f>
        <v>#REF!</v>
      </c>
      <c r="AN74" s="379"/>
      <c r="AO74" s="379"/>
      <c r="AP74" s="379"/>
      <c r="AQ74" s="379"/>
      <c r="AR74" s="379"/>
      <c r="AS74" s="379"/>
      <c r="AT74" s="379"/>
      <c r="AU74" s="379"/>
      <c r="AV74" s="379"/>
      <c r="AW74" s="389" t="s">
        <v>367</v>
      </c>
      <c r="AX74" s="389"/>
      <c r="AY74" s="389"/>
      <c r="AZ74" s="389"/>
      <c r="BA74" s="389"/>
      <c r="BB74" s="389"/>
      <c r="BC74" s="389"/>
      <c r="BD74" s="389"/>
      <c r="BE74" s="389"/>
      <c r="BF74" s="379" t="e">
        <f>COUNTIFS(#REF!,"&gt;=08/01/2021",#REF!, "&lt;=08/31/2021")</f>
        <v>#REF!</v>
      </c>
      <c r="BG74" s="379"/>
      <c r="BH74" s="379"/>
      <c r="BI74" s="379"/>
      <c r="BJ74" s="379"/>
      <c r="BK74" s="379"/>
      <c r="BL74" s="379"/>
      <c r="BM74" s="379"/>
      <c r="BN74" s="379"/>
      <c r="BO74" s="379"/>
      <c r="BP74" s="467" t="e">
        <f>COUNTIFS(#REF!,"&gt;=08/01/2021",#REF!, "&lt;=08/31/2021",#REF!, "YES",#REF!, "Phone")</f>
        <v>#REF!</v>
      </c>
      <c r="BQ74" s="468"/>
      <c r="BR74" s="468"/>
      <c r="BS74" s="469"/>
      <c r="BT74" s="379" t="e">
        <f>COUNTIFS(#REF!,"&gt;=08/01/2021",#REF!, "&lt;=08/31/2021",#REF!, "YES",#REF!, "face-to-face")</f>
        <v>#REF!</v>
      </c>
      <c r="BU74" s="379"/>
      <c r="BV74" s="379"/>
      <c r="BW74" s="379"/>
      <c r="BX74" s="379" t="e">
        <f>COUNTIFS(#REF!,"&gt;=08/01/2021",#REF!, "&lt;=08/31/2021",#REF!, "YES",#REF!, "text messages")</f>
        <v>#REF!</v>
      </c>
      <c r="BY74" s="379"/>
      <c r="BZ74" s="379"/>
      <c r="CA74" s="379"/>
      <c r="CB74" s="379" t="e">
        <f>COUNTIFS(#REF!,"&gt;=08/01/2021",#REF!, "&lt;=08/31/2021",#REF!, "YES",#REF!, "other")</f>
        <v>#REF!</v>
      </c>
      <c r="CC74" s="379"/>
      <c r="CD74" s="379"/>
      <c r="CE74" s="379"/>
    </row>
    <row r="75" spans="1:83" x14ac:dyDescent="0.25">
      <c r="A75" s="389" t="s">
        <v>369</v>
      </c>
      <c r="B75" s="389"/>
      <c r="C75" s="389"/>
      <c r="D75" s="389"/>
      <c r="E75" s="389"/>
      <c r="F75" s="389"/>
      <c r="G75" s="389"/>
      <c r="H75" s="389"/>
      <c r="I75" s="389"/>
      <c r="J75" s="383" t="e">
        <f>COUNTIFS(#REF!,"&gt;=09/01/2021",#REF!, "&lt;=09/30/2021")</f>
        <v>#REF!</v>
      </c>
      <c r="K75" s="383"/>
      <c r="L75" s="383"/>
      <c r="M75" s="383"/>
      <c r="N75" s="383"/>
      <c r="O75" s="383"/>
      <c r="P75" s="383"/>
      <c r="Q75" s="383"/>
      <c r="R75" s="383"/>
      <c r="S75" s="383"/>
      <c r="T75" s="383" t="e">
        <f>COUNTIFS(#REF!,"&gt;=09/01/2021",#REF!, "&lt;=09/30/2021",#REF!, "YES")</f>
        <v>#REF!</v>
      </c>
      <c r="U75" s="383"/>
      <c r="V75" s="383"/>
      <c r="W75" s="383"/>
      <c r="X75" s="383"/>
      <c r="Y75" s="383"/>
      <c r="Z75" s="383"/>
      <c r="AA75" s="383"/>
      <c r="AB75" s="383"/>
      <c r="AC75" s="383"/>
      <c r="AD75" s="389" t="s">
        <v>369</v>
      </c>
      <c r="AE75" s="389"/>
      <c r="AF75" s="389"/>
      <c r="AG75" s="389"/>
      <c r="AH75" s="389"/>
      <c r="AI75" s="389"/>
      <c r="AJ75" s="389"/>
      <c r="AK75" s="389"/>
      <c r="AL75" s="389"/>
      <c r="AM75" s="379" t="e">
        <f>COUNTIFS(#REF!,"&gt;=01/01/2020",#REF!, "&lt;=01/31/2020")</f>
        <v>#REF!</v>
      </c>
      <c r="AN75" s="379"/>
      <c r="AO75" s="379"/>
      <c r="AP75" s="379"/>
      <c r="AQ75" s="379"/>
      <c r="AR75" s="379"/>
      <c r="AS75" s="379"/>
      <c r="AT75" s="379"/>
      <c r="AU75" s="379"/>
      <c r="AV75" s="379"/>
      <c r="AW75" s="389" t="s">
        <v>369</v>
      </c>
      <c r="AX75" s="389"/>
      <c r="AY75" s="389"/>
      <c r="AZ75" s="389"/>
      <c r="BA75" s="389"/>
      <c r="BB75" s="389"/>
      <c r="BC75" s="389"/>
      <c r="BD75" s="389"/>
      <c r="BE75" s="389"/>
      <c r="BF75" s="379" t="e">
        <f>COUNTIFS(#REF!,"&gt;=01/01/2020",#REF!, "&lt;=01/31/2020")</f>
        <v>#REF!</v>
      </c>
      <c r="BG75" s="379"/>
      <c r="BH75" s="379"/>
      <c r="BI75" s="379"/>
      <c r="BJ75" s="379"/>
      <c r="BK75" s="379"/>
      <c r="BL75" s="379"/>
      <c r="BM75" s="379"/>
      <c r="BN75" s="379"/>
      <c r="BO75" s="379"/>
      <c r="BP75" s="467" t="e">
        <f>COUNTIFS(#REF!,"&gt;=09/01/2021",#REF!, "&lt;=09/30/2021",#REF!, "YES",#REF!, "Phone")</f>
        <v>#REF!</v>
      </c>
      <c r="BQ75" s="468"/>
      <c r="BR75" s="468"/>
      <c r="BS75" s="469"/>
      <c r="BT75" s="379" t="e">
        <f>COUNTIFS(#REF!,"&gt;=09/01/2021",#REF!, "&lt;=09/30/2021",#REF!, "YES",#REF!, "face-to-face")</f>
        <v>#REF!</v>
      </c>
      <c r="BU75" s="379"/>
      <c r="BV75" s="379"/>
      <c r="BW75" s="379"/>
      <c r="BX75" s="379" t="e">
        <f>COUNTIFS(#REF!,"&gt;=09/01/2021",#REF!, "&lt;=09/30/2021",#REF!, "YES",#REF!, "text messages")</f>
        <v>#REF!</v>
      </c>
      <c r="BY75" s="379"/>
      <c r="BZ75" s="379"/>
      <c r="CA75" s="379"/>
      <c r="CB75" s="379" t="e">
        <f>COUNTIFS(#REF!,"&gt;=09/01/2021",#REF!, "&lt;=09/30/2021",#REF!, "YES",#REF!, "other")</f>
        <v>#REF!</v>
      </c>
      <c r="CC75" s="379"/>
      <c r="CD75" s="379"/>
      <c r="CE75" s="379"/>
    </row>
    <row r="76" spans="1:83" x14ac:dyDescent="0.25">
      <c r="A76" s="380"/>
      <c r="B76" s="380"/>
      <c r="C76" s="380"/>
      <c r="D76" s="380"/>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470"/>
      <c r="AN76" s="470"/>
      <c r="AO76" s="470"/>
      <c r="AP76" s="470"/>
      <c r="AQ76" s="470"/>
      <c r="AR76" s="470"/>
      <c r="AS76" s="470"/>
      <c r="AT76" s="470"/>
      <c r="AU76" s="470"/>
      <c r="AV76" s="470"/>
      <c r="AW76" s="380"/>
      <c r="AX76" s="380"/>
      <c r="AY76" s="380"/>
      <c r="AZ76" s="380"/>
      <c r="BA76" s="380"/>
      <c r="BB76" s="380"/>
      <c r="BC76" s="380"/>
      <c r="BD76" s="380"/>
      <c r="BE76" s="380"/>
      <c r="BF76" s="380"/>
      <c r="BG76" s="380"/>
      <c r="BH76" s="380"/>
      <c r="BI76" s="380"/>
      <c r="BJ76" s="380"/>
      <c r="BK76" s="380"/>
      <c r="BL76" s="380"/>
      <c r="BM76" s="380"/>
      <c r="BN76" s="380"/>
      <c r="BO76" s="380"/>
      <c r="BP76" s="471"/>
      <c r="BQ76" s="472"/>
      <c r="BR76" s="472"/>
      <c r="BS76" s="473"/>
      <c r="BT76" s="471"/>
      <c r="BU76" s="472"/>
      <c r="BV76" s="472"/>
      <c r="BW76" s="473"/>
      <c r="BX76" s="474"/>
      <c r="BY76" s="475"/>
      <c r="BZ76" s="475"/>
      <c r="CA76" s="475"/>
      <c r="CB76" s="475"/>
      <c r="CC76" s="475"/>
      <c r="CD76" s="475"/>
      <c r="CE76" s="476"/>
    </row>
    <row r="77" spans="1:83" ht="21" x14ac:dyDescent="0.35">
      <c r="A77" s="390" t="s">
        <v>345</v>
      </c>
      <c r="B77" s="390"/>
      <c r="C77" s="390"/>
      <c r="D77" s="390"/>
      <c r="E77" s="390"/>
      <c r="F77" s="390"/>
      <c r="G77" s="390"/>
      <c r="H77" s="390"/>
      <c r="I77" s="390"/>
      <c r="J77" s="391" t="e">
        <f>SUM(J51:J76)</f>
        <v>#REF!</v>
      </c>
      <c r="K77" s="391"/>
      <c r="L77" s="391"/>
      <c r="M77" s="391"/>
      <c r="N77" s="391"/>
      <c r="O77" s="391"/>
      <c r="P77" s="391"/>
      <c r="Q77" s="391"/>
      <c r="R77" s="391"/>
      <c r="S77" s="391"/>
      <c r="T77" s="372" t="e">
        <f>SUM(T51:T76)</f>
        <v>#REF!</v>
      </c>
      <c r="U77" s="372"/>
      <c r="V77" s="372"/>
      <c r="W77" s="372"/>
      <c r="X77" s="372"/>
      <c r="Y77" s="372"/>
      <c r="Z77" s="372"/>
      <c r="AA77" s="372"/>
      <c r="AB77" s="372"/>
      <c r="AC77" s="372"/>
      <c r="AD77" s="480"/>
      <c r="AE77" s="480"/>
      <c r="AF77" s="480"/>
      <c r="AG77" s="480"/>
      <c r="AH77" s="480"/>
      <c r="AI77" s="480"/>
      <c r="AJ77" s="480"/>
      <c r="AK77" s="480"/>
      <c r="AL77" s="480"/>
      <c r="AM77" s="372" t="e">
        <f>SUM(AM51:AM76)</f>
        <v>#REF!</v>
      </c>
      <c r="AN77" s="372"/>
      <c r="AO77" s="372"/>
      <c r="AP77" s="372"/>
      <c r="AQ77" s="372"/>
      <c r="AR77" s="372"/>
      <c r="AS77" s="372"/>
      <c r="AT77" s="372"/>
      <c r="AU77" s="372"/>
      <c r="AV77" s="372"/>
      <c r="AW77" s="480"/>
      <c r="AX77" s="480"/>
      <c r="AY77" s="480"/>
      <c r="AZ77" s="480"/>
      <c r="BA77" s="480"/>
      <c r="BB77" s="480"/>
      <c r="BC77" s="480"/>
      <c r="BD77" s="480"/>
      <c r="BE77" s="480"/>
      <c r="BF77" s="372" t="e">
        <f>SUM(BF51:BF76)</f>
        <v>#REF!</v>
      </c>
      <c r="BG77" s="372"/>
      <c r="BH77" s="372"/>
      <c r="BI77" s="372"/>
      <c r="BJ77" s="372"/>
      <c r="BK77" s="372"/>
      <c r="BL77" s="372"/>
      <c r="BM77" s="372"/>
      <c r="BN77" s="372"/>
      <c r="BO77" s="372"/>
      <c r="BP77" s="481" t="e">
        <f>SUM(BP51:BP76)</f>
        <v>#REF!</v>
      </c>
      <c r="BQ77" s="482"/>
      <c r="BR77" s="482"/>
      <c r="BS77" s="483"/>
      <c r="BT77" s="481" t="e">
        <f>SUM(BT51:BT76)</f>
        <v>#REF!</v>
      </c>
      <c r="BU77" s="482"/>
      <c r="BV77" s="482"/>
      <c r="BW77" s="483"/>
      <c r="BX77" s="481" t="e">
        <f>SUM(BX51:BX76)</f>
        <v>#REF!</v>
      </c>
      <c r="BY77" s="482"/>
      <c r="BZ77" s="482"/>
      <c r="CA77" s="483"/>
      <c r="CB77" s="481" t="e">
        <f>SUM(CB51:CB76)</f>
        <v>#REF!</v>
      </c>
      <c r="CC77" s="482"/>
      <c r="CD77" s="482"/>
      <c r="CE77" s="483"/>
    </row>
    <row r="78" spans="1:83" ht="30" customHeight="1" x14ac:dyDescent="0.25">
      <c r="A78" s="392" t="s">
        <v>346</v>
      </c>
      <c r="B78" s="392"/>
      <c r="C78" s="392"/>
      <c r="D78" s="392"/>
      <c r="E78" s="392"/>
      <c r="F78" s="392"/>
      <c r="G78" s="392"/>
      <c r="H78" s="392"/>
      <c r="I78" s="392"/>
      <c r="J78" s="392" t="s">
        <v>347</v>
      </c>
      <c r="K78" s="392"/>
      <c r="L78" s="392"/>
      <c r="M78" s="392"/>
      <c r="N78" s="392"/>
      <c r="O78" s="392"/>
      <c r="P78" s="392"/>
      <c r="Q78" s="392"/>
      <c r="R78" s="392"/>
      <c r="S78" s="392"/>
      <c r="T78" s="392" t="s">
        <v>377</v>
      </c>
      <c r="U78" s="392"/>
      <c r="V78" s="392"/>
      <c r="W78" s="392"/>
      <c r="X78" s="392"/>
      <c r="Y78" s="392"/>
      <c r="Z78" s="392"/>
      <c r="AA78" s="392"/>
      <c r="AB78" s="392"/>
      <c r="AC78" s="392"/>
      <c r="AD78" s="392" t="s">
        <v>346</v>
      </c>
      <c r="AE78" s="392"/>
      <c r="AF78" s="392"/>
      <c r="AG78" s="392"/>
      <c r="AH78" s="392"/>
      <c r="AI78" s="392"/>
      <c r="AJ78" s="392"/>
      <c r="AK78" s="392"/>
      <c r="AL78" s="392"/>
      <c r="AM78" s="392" t="s">
        <v>370</v>
      </c>
      <c r="AN78" s="392"/>
      <c r="AO78" s="392"/>
      <c r="AP78" s="392"/>
      <c r="AQ78" s="392"/>
      <c r="AR78" s="392"/>
      <c r="AS78" s="392"/>
      <c r="AT78" s="392"/>
      <c r="AU78" s="392"/>
      <c r="AV78" s="392"/>
      <c r="AW78" s="392" t="s">
        <v>346</v>
      </c>
      <c r="AX78" s="392"/>
      <c r="AY78" s="392"/>
      <c r="AZ78" s="392"/>
      <c r="BA78" s="392"/>
      <c r="BB78" s="392"/>
      <c r="BC78" s="392"/>
      <c r="BD78" s="392"/>
      <c r="BE78" s="392"/>
      <c r="BF78" s="392" t="s">
        <v>371</v>
      </c>
      <c r="BG78" s="392"/>
      <c r="BH78" s="392"/>
      <c r="BI78" s="392"/>
      <c r="BJ78" s="392"/>
      <c r="BK78" s="392"/>
      <c r="BL78" s="392"/>
      <c r="BM78" s="392"/>
      <c r="BN78" s="392"/>
      <c r="BO78" s="392"/>
      <c r="BP78" s="477" t="s">
        <v>372</v>
      </c>
      <c r="BQ78" s="478"/>
      <c r="BR78" s="478"/>
      <c r="BS78" s="479"/>
      <c r="BT78" s="477" t="s">
        <v>373</v>
      </c>
      <c r="BU78" s="478"/>
      <c r="BV78" s="478"/>
      <c r="BW78" s="479"/>
      <c r="BX78" s="477" t="s">
        <v>378</v>
      </c>
      <c r="BY78" s="478"/>
      <c r="BZ78" s="478"/>
      <c r="CA78" s="479"/>
      <c r="CB78" s="477" t="s">
        <v>374</v>
      </c>
      <c r="CC78" s="478"/>
      <c r="CD78" s="478"/>
      <c r="CE78" s="479"/>
    </row>
    <row r="79" spans="1:83" x14ac:dyDescent="0.25">
      <c r="A79" s="465"/>
      <c r="B79" s="465"/>
      <c r="C79" s="465"/>
      <c r="D79" s="465"/>
      <c r="E79" s="465"/>
      <c r="F79" s="465"/>
      <c r="G79" s="465"/>
      <c r="H79" s="465"/>
      <c r="I79" s="465"/>
    </row>
    <row r="80" spans="1:83" ht="20.100000000000001" customHeight="1" x14ac:dyDescent="0.25">
      <c r="A80" s="410" t="s">
        <v>387</v>
      </c>
      <c r="B80" s="410"/>
      <c r="C80" s="410"/>
      <c r="D80" s="410"/>
      <c r="E80" s="410"/>
      <c r="F80" s="410"/>
      <c r="G80" s="410"/>
      <c r="H80" s="410"/>
      <c r="I80" s="410"/>
      <c r="J80" s="410"/>
      <c r="K80" s="410"/>
      <c r="L80" s="410"/>
      <c r="M80" s="410"/>
      <c r="N80" s="410"/>
      <c r="O80" s="410"/>
      <c r="P80" s="410"/>
      <c r="Q80" s="410"/>
      <c r="R80" s="410"/>
      <c r="S80" s="410"/>
      <c r="T80" s="410"/>
      <c r="U80" s="410"/>
      <c r="V80" s="410"/>
      <c r="W80" s="410"/>
      <c r="X80" s="410"/>
      <c r="Y80" s="410"/>
      <c r="Z80" s="410"/>
      <c r="AA80" s="410"/>
      <c r="AB80" s="410"/>
      <c r="AC80" s="410"/>
      <c r="AD80" s="410"/>
      <c r="AE80" s="410"/>
      <c r="AF80" s="410"/>
      <c r="AG80" s="410"/>
      <c r="AH80" s="410"/>
      <c r="AI80" s="410"/>
      <c r="AJ80" s="410"/>
      <c r="AK80" s="410"/>
      <c r="AL80" s="410"/>
      <c r="AM80" s="410"/>
      <c r="AN80" s="410"/>
      <c r="AO80" s="410"/>
      <c r="AP80" s="410"/>
      <c r="AQ80" s="410"/>
      <c r="AR80" s="410"/>
      <c r="AS80" s="410"/>
      <c r="AT80" s="410"/>
      <c r="AU80" s="410"/>
      <c r="AV80" s="410"/>
      <c r="AW80" s="410"/>
      <c r="AX80" s="410"/>
      <c r="AY80" s="410"/>
      <c r="AZ80" s="410"/>
      <c r="BA80" s="410"/>
      <c r="BB80" s="410"/>
      <c r="BC80" s="410"/>
      <c r="BD80" s="410"/>
      <c r="BE80" s="410"/>
      <c r="BF80" s="410"/>
      <c r="BG80" s="410"/>
      <c r="BH80" s="410"/>
      <c r="BI80" s="410"/>
      <c r="BJ80" s="410"/>
      <c r="BK80" s="410"/>
      <c r="BL80" s="410"/>
      <c r="BM80" s="410"/>
      <c r="BN80" s="410"/>
      <c r="BO80" s="410"/>
      <c r="BP80" s="410"/>
      <c r="BQ80" s="410"/>
      <c r="BR80" s="410"/>
      <c r="BS80" s="410"/>
      <c r="BT80" s="410"/>
      <c r="BU80" s="410"/>
      <c r="BV80" s="35"/>
      <c r="BW80" s="35"/>
      <c r="BX80" s="35"/>
      <c r="BY80" s="35"/>
      <c r="BZ80" s="35"/>
      <c r="CA80" s="35"/>
      <c r="CB80" s="35"/>
    </row>
    <row r="81" spans="1:80" ht="30" customHeight="1" x14ac:dyDescent="0.25">
      <c r="A81" s="409" t="s">
        <v>346</v>
      </c>
      <c r="B81" s="409"/>
      <c r="C81" s="409"/>
      <c r="D81" s="409"/>
      <c r="E81" s="409"/>
      <c r="F81" s="409"/>
      <c r="G81" s="409"/>
      <c r="H81" s="409"/>
      <c r="I81" s="409"/>
      <c r="J81" s="409" t="s">
        <v>385</v>
      </c>
      <c r="K81" s="409"/>
      <c r="L81" s="409"/>
      <c r="M81" s="409"/>
      <c r="N81" s="409"/>
      <c r="O81" s="409"/>
      <c r="P81" s="409"/>
      <c r="Q81" s="409"/>
      <c r="R81" s="409"/>
      <c r="S81" s="409"/>
      <c r="T81" s="373" t="s">
        <v>386</v>
      </c>
      <c r="U81" s="374"/>
      <c r="V81" s="374"/>
      <c r="W81" s="374"/>
      <c r="X81" s="374"/>
      <c r="Y81" s="375"/>
      <c r="Z81" s="35"/>
      <c r="AA81" s="376" t="s">
        <v>248</v>
      </c>
      <c r="AB81" s="377"/>
      <c r="AC81" s="377"/>
      <c r="AD81" s="377"/>
      <c r="AE81" s="377"/>
      <c r="AF81" s="378"/>
      <c r="AG81" s="376" t="s">
        <v>249</v>
      </c>
      <c r="AH81" s="377"/>
      <c r="AI81" s="377"/>
      <c r="AJ81" s="377"/>
      <c r="AK81" s="377"/>
      <c r="AL81" s="378"/>
      <c r="AM81" s="364" t="s">
        <v>250</v>
      </c>
      <c r="AN81" s="364"/>
      <c r="AO81" s="364"/>
      <c r="AP81" s="364"/>
      <c r="AQ81" s="364"/>
      <c r="AR81" s="364"/>
      <c r="AS81" s="364" t="s">
        <v>251</v>
      </c>
      <c r="AT81" s="364"/>
      <c r="AU81" s="364"/>
      <c r="AV81" s="364"/>
      <c r="AW81" s="364"/>
      <c r="AX81" s="364"/>
      <c r="AY81" s="364" t="s">
        <v>253</v>
      </c>
      <c r="AZ81" s="364"/>
      <c r="BA81" s="364"/>
      <c r="BB81" s="364"/>
      <c r="BC81" s="364"/>
      <c r="BD81" s="364"/>
      <c r="BE81" s="364" t="s">
        <v>252</v>
      </c>
      <c r="BF81" s="364"/>
      <c r="BG81" s="364"/>
      <c r="BH81" s="364"/>
      <c r="BI81" s="364"/>
      <c r="BJ81" s="364"/>
      <c r="BK81" s="364" t="s">
        <v>391</v>
      </c>
      <c r="BL81" s="364"/>
      <c r="BM81" s="364"/>
      <c r="BN81" s="364"/>
      <c r="BO81" s="364"/>
      <c r="BP81" s="364"/>
      <c r="BQ81" s="364" t="s">
        <v>392</v>
      </c>
      <c r="BR81" s="364"/>
      <c r="BS81" s="364"/>
      <c r="BT81" s="364"/>
      <c r="BU81" s="364"/>
      <c r="BV81" s="364"/>
      <c r="BW81" s="364" t="s">
        <v>254</v>
      </c>
      <c r="BX81" s="364"/>
      <c r="BY81" s="364"/>
      <c r="BZ81" s="364"/>
      <c r="CA81" s="364"/>
      <c r="CB81" s="364"/>
    </row>
    <row r="82" spans="1:80" x14ac:dyDescent="0.25">
      <c r="A82" s="451" t="s">
        <v>348</v>
      </c>
      <c r="B82" s="451"/>
      <c r="C82" s="451"/>
      <c r="D82" s="451"/>
      <c r="E82" s="451"/>
      <c r="F82" s="451"/>
      <c r="G82" s="451"/>
      <c r="H82" s="451"/>
      <c r="I82" s="451"/>
      <c r="J82" s="388" t="e">
        <f>COUNTIFS(#REF!,"&gt;=07/01/2010",#REF!, "&lt;=09/30/2019")</f>
        <v>#REF!</v>
      </c>
      <c r="K82" s="388"/>
      <c r="L82" s="388"/>
      <c r="M82" s="388"/>
      <c r="N82" s="388"/>
      <c r="O82" s="388"/>
      <c r="P82" s="388"/>
      <c r="Q82" s="388"/>
      <c r="R82" s="388"/>
      <c r="S82" s="388"/>
      <c r="T82" s="368" t="e">
        <f>COUNTIFS(#REF!,"&gt;=07/01/2010",#REF!, "&lt;=09/30/2019",#REF!,"YES")</f>
        <v>#REF!</v>
      </c>
      <c r="U82" s="368"/>
      <c r="V82" s="368"/>
      <c r="W82" s="368"/>
      <c r="X82" s="368"/>
      <c r="Y82" s="368"/>
      <c r="Z82" s="35"/>
      <c r="AA82" s="387" t="e">
        <f>COUNTIFS(#REF!,"&gt;=07/01/2010",#REF!, "&lt;=09/30/2019",#REF!,"Methadone")</f>
        <v>#REF!</v>
      </c>
      <c r="AB82" s="387"/>
      <c r="AC82" s="387"/>
      <c r="AD82" s="387"/>
      <c r="AE82" s="387"/>
      <c r="AF82" s="387"/>
      <c r="AG82" s="387" t="e">
        <f>COUNTIFS(#REF!,"&gt;=07/01/2010",#REF!, "&lt;=09/30/2019",#REF!,"Buprenorphine Oral")</f>
        <v>#REF!</v>
      </c>
      <c r="AH82" s="387"/>
      <c r="AI82" s="387"/>
      <c r="AJ82" s="387"/>
      <c r="AK82" s="387"/>
      <c r="AL82" s="387"/>
      <c r="AM82" s="367" t="e">
        <f>COUNTIFS(#REF!,"&gt;=07/01/2010",#REF!, "&lt;=09/30/2019",#REF!,"Buprenorphine - Injectable")</f>
        <v>#REF!</v>
      </c>
      <c r="AN82" s="367"/>
      <c r="AO82" s="367"/>
      <c r="AP82" s="367"/>
      <c r="AQ82" s="367"/>
      <c r="AR82" s="367"/>
      <c r="AS82" s="367" t="e">
        <f>COUNTIFS(#REF!,"&gt;=07/01/2010",#REF!, "&lt;=09/30/2019",#REF!,"Buprenorphine Implant")</f>
        <v>#REF!</v>
      </c>
      <c r="AT82" s="367"/>
      <c r="AU82" s="367"/>
      <c r="AV82" s="367"/>
      <c r="AW82" s="367"/>
      <c r="AX82" s="367"/>
      <c r="AY82" s="367" t="e">
        <f>COUNTIFS(#REF!,"&gt;=07/01/2010",#REF!, "&lt;=09/30/2019",#REF!,"Naltrexone - Injectable ")</f>
        <v>#REF!</v>
      </c>
      <c r="AZ82" s="367"/>
      <c r="BA82" s="367"/>
      <c r="BB82" s="367"/>
      <c r="BC82" s="367"/>
      <c r="BD82" s="367"/>
      <c r="BE82" s="367" t="e">
        <f>COUNTIFS(#REF!,"&gt;=07/01/2010",#REF!, "&lt;=09/30/2019",#REF!,"Naltrexone - Oral")</f>
        <v>#REF!</v>
      </c>
      <c r="BF82" s="367"/>
      <c r="BG82" s="367"/>
      <c r="BH82" s="367"/>
      <c r="BI82" s="367"/>
      <c r="BJ82" s="367"/>
      <c r="BK82" s="367" t="e">
        <f>COUNTIFS(#REF!,"&gt;=07/01/2010",#REF!, "&lt;=09/30/2019",#REF!,"Changed MAT Type (Explain in Notes) ")</f>
        <v>#REF!</v>
      </c>
      <c r="BL82" s="367"/>
      <c r="BM82" s="367"/>
      <c r="BN82" s="367"/>
      <c r="BO82" s="367"/>
      <c r="BP82" s="367"/>
      <c r="BQ82" s="365" t="e">
        <f t="shared" ref="BQ82:BQ106" si="6">SUM(AA82:BO82)</f>
        <v>#REF!</v>
      </c>
      <c r="BR82" s="365"/>
      <c r="BS82" s="365"/>
      <c r="BT82" s="365"/>
      <c r="BU82" s="365"/>
      <c r="BV82" s="365"/>
      <c r="BW82" s="363" t="e">
        <f>COUNTIFS(#REF!,"&gt;=07/01/2010",#REF!, "&lt;=09/30/2019",#REF!,"Did not use MAT ")</f>
        <v>#REF!</v>
      </c>
      <c r="BX82" s="363"/>
      <c r="BY82" s="363"/>
      <c r="BZ82" s="363"/>
      <c r="CA82" s="363"/>
      <c r="CB82" s="363"/>
    </row>
    <row r="83" spans="1:80" x14ac:dyDescent="0.25">
      <c r="A83" s="451" t="s">
        <v>349</v>
      </c>
      <c r="B83" s="451"/>
      <c r="C83" s="451"/>
      <c r="D83" s="451"/>
      <c r="E83" s="451"/>
      <c r="F83" s="451"/>
      <c r="G83" s="451"/>
      <c r="H83" s="451"/>
      <c r="I83" s="451"/>
      <c r="J83" s="388" t="e">
        <f>COUNTIFS(#REF!,"&gt;=10/01/2019",#REF!, "&lt;=10/31/2019")</f>
        <v>#REF!</v>
      </c>
      <c r="K83" s="388"/>
      <c r="L83" s="388"/>
      <c r="M83" s="388"/>
      <c r="N83" s="388"/>
      <c r="O83" s="388"/>
      <c r="P83" s="388"/>
      <c r="Q83" s="388"/>
      <c r="R83" s="388"/>
      <c r="S83" s="388"/>
      <c r="T83" s="368" t="e">
        <f>COUNTIFS(#REF!,"&gt;=10/01/2019",#REF!, "&lt;=10/31/2019",#REF!,"YES")</f>
        <v>#REF!</v>
      </c>
      <c r="U83" s="368"/>
      <c r="V83" s="368"/>
      <c r="W83" s="368"/>
      <c r="X83" s="368"/>
      <c r="Y83" s="368"/>
      <c r="Z83" s="35"/>
      <c r="AA83" s="388" t="e">
        <f>COUNTIFS(#REF!,"&gt;=10/01/2019",#REF!, "&lt;=10/31/2019",#REF!,"Methadone")</f>
        <v>#REF!</v>
      </c>
      <c r="AB83" s="388"/>
      <c r="AC83" s="388"/>
      <c r="AD83" s="388"/>
      <c r="AE83" s="388"/>
      <c r="AF83" s="388"/>
      <c r="AG83" s="388" t="e">
        <f>COUNTIFS(#REF!,"&gt;=10/01/2019",#REF!, "&lt;=10/31/2019",#REF!,"Buprenorphine Oral")</f>
        <v>#REF!</v>
      </c>
      <c r="AH83" s="388"/>
      <c r="AI83" s="388"/>
      <c r="AJ83" s="388"/>
      <c r="AK83" s="388"/>
      <c r="AL83" s="388"/>
      <c r="AM83" s="368" t="e">
        <f>COUNTIFS(#REF!,"&gt;=10/01/2019",#REF!, "&lt;=10/31/2019",#REF!,"Buprenorphine - Injectable")</f>
        <v>#REF!</v>
      </c>
      <c r="AN83" s="368"/>
      <c r="AO83" s="368"/>
      <c r="AP83" s="368"/>
      <c r="AQ83" s="368"/>
      <c r="AR83" s="368"/>
      <c r="AS83" s="368" t="e">
        <f>COUNTIFS(#REF!,"&gt;=10/01/2019",#REF!, "&lt;=10/31/2019",#REF!,"Buprenorphine Implant")</f>
        <v>#REF!</v>
      </c>
      <c r="AT83" s="368"/>
      <c r="AU83" s="368"/>
      <c r="AV83" s="368"/>
      <c r="AW83" s="368"/>
      <c r="AX83" s="368"/>
      <c r="AY83" s="368" t="e">
        <f>COUNTIFS(#REF!,"&gt;=10/01/2019",#REF!, "&lt;=10/31/2019",#REF!,"Naltrexone - Injectable ")</f>
        <v>#REF!</v>
      </c>
      <c r="AZ83" s="368"/>
      <c r="BA83" s="368"/>
      <c r="BB83" s="368"/>
      <c r="BC83" s="368"/>
      <c r="BD83" s="368"/>
      <c r="BE83" s="368" t="e">
        <f>COUNTIFS(#REF!,"&gt;=10/01/2019",#REF!, "&lt;=10/31/2019",#REF!,"Naltrexone - Oral")</f>
        <v>#REF!</v>
      </c>
      <c r="BF83" s="368"/>
      <c r="BG83" s="368"/>
      <c r="BH83" s="368"/>
      <c r="BI83" s="368"/>
      <c r="BJ83" s="368"/>
      <c r="BK83" s="368" t="e">
        <f>COUNTIFS(#REF!,"&gt;=10/01/2019",#REF!, "&lt;=10/31/2019",#REF!,"Changed MAT Type (Explain in Notes) ")</f>
        <v>#REF!</v>
      </c>
      <c r="BL83" s="368"/>
      <c r="BM83" s="368"/>
      <c r="BN83" s="368"/>
      <c r="BO83" s="368"/>
      <c r="BP83" s="368"/>
      <c r="BQ83" s="365" t="e">
        <f t="shared" si="6"/>
        <v>#REF!</v>
      </c>
      <c r="BR83" s="365"/>
      <c r="BS83" s="365"/>
      <c r="BT83" s="365"/>
      <c r="BU83" s="365"/>
      <c r="BV83" s="365"/>
      <c r="BW83" s="363" t="e">
        <f>COUNTIFS(#REF!,"&gt;=10/01/2019",#REF!, "&lt;=10/31/2019",#REF!,"Did not use MAT ")</f>
        <v>#REF!</v>
      </c>
      <c r="BX83" s="363"/>
      <c r="BY83" s="363"/>
      <c r="BZ83" s="363"/>
      <c r="CA83" s="363"/>
      <c r="CB83" s="363"/>
    </row>
    <row r="84" spans="1:80" x14ac:dyDescent="0.25">
      <c r="A84" s="451" t="s">
        <v>350</v>
      </c>
      <c r="B84" s="451"/>
      <c r="C84" s="451"/>
      <c r="D84" s="451"/>
      <c r="E84" s="451"/>
      <c r="F84" s="451"/>
      <c r="G84" s="451"/>
      <c r="H84" s="451"/>
      <c r="I84" s="451"/>
      <c r="J84" s="388" t="e">
        <f>COUNTIFS(#REF!,"&gt;=11/01/2019",#REF!, "&lt;=11/30/2019")</f>
        <v>#REF!</v>
      </c>
      <c r="K84" s="388"/>
      <c r="L84" s="388"/>
      <c r="M84" s="388"/>
      <c r="N84" s="388"/>
      <c r="O84" s="388"/>
      <c r="P84" s="388"/>
      <c r="Q84" s="388"/>
      <c r="R84" s="388"/>
      <c r="S84" s="388"/>
      <c r="T84" s="368" t="e">
        <f>COUNTIFS(#REF!,"&gt;=11/01/2019",#REF!, "&lt;=11/30/2019",#REF!,"YES")</f>
        <v>#REF!</v>
      </c>
      <c r="U84" s="368"/>
      <c r="V84" s="368"/>
      <c r="W84" s="368"/>
      <c r="X84" s="368"/>
      <c r="Y84" s="368"/>
      <c r="Z84" s="35"/>
      <c r="AA84" s="388" t="e">
        <f>COUNTIFS(#REF!,"&gt;=11/01/2019",#REF!, "&lt;=11/30/2019",#REF!,"Methadone")</f>
        <v>#REF!</v>
      </c>
      <c r="AB84" s="388"/>
      <c r="AC84" s="388"/>
      <c r="AD84" s="388"/>
      <c r="AE84" s="388"/>
      <c r="AF84" s="388"/>
      <c r="AG84" s="388" t="e">
        <f>COUNTIFS(#REF!,"&gt;=11/01/2019",#REF!, "&lt;=11/30/2019",#REF!,"Buprenorphine Oral")</f>
        <v>#REF!</v>
      </c>
      <c r="AH84" s="388"/>
      <c r="AI84" s="388"/>
      <c r="AJ84" s="388"/>
      <c r="AK84" s="388"/>
      <c r="AL84" s="388"/>
      <c r="AM84" s="368" t="e">
        <f>COUNTIFS(#REF!,"&gt;=11/01/2019",#REF!, "&lt;=11/30/2019",#REF!,"Buprenorphine - Injectable")</f>
        <v>#REF!</v>
      </c>
      <c r="AN84" s="368"/>
      <c r="AO84" s="368"/>
      <c r="AP84" s="368"/>
      <c r="AQ84" s="368"/>
      <c r="AR84" s="368"/>
      <c r="AS84" s="368" t="e">
        <f>COUNTIFS(#REF!,"&gt;=11/01/2019",#REF!, "&lt;=11/30/2019",#REF!,"Buprenorphine Implant")</f>
        <v>#REF!</v>
      </c>
      <c r="AT84" s="368"/>
      <c r="AU84" s="368"/>
      <c r="AV84" s="368"/>
      <c r="AW84" s="368"/>
      <c r="AX84" s="368"/>
      <c r="AY84" s="368" t="e">
        <f>COUNTIFS(#REF!,"&gt;=11/01/2019",#REF!, "&lt;=11/30/2019",#REF!,"Naltrexone - Injectable ")</f>
        <v>#REF!</v>
      </c>
      <c r="AZ84" s="368"/>
      <c r="BA84" s="368"/>
      <c r="BB84" s="368"/>
      <c r="BC84" s="368"/>
      <c r="BD84" s="368"/>
      <c r="BE84" s="368" t="e">
        <f>COUNTIFS(#REF!,"&gt;=11/01/2019",#REF!, "&lt;=11/30/2019",#REF!,"Naltrexone - Oral")</f>
        <v>#REF!</v>
      </c>
      <c r="BF84" s="368"/>
      <c r="BG84" s="368"/>
      <c r="BH84" s="368"/>
      <c r="BI84" s="368"/>
      <c r="BJ84" s="368"/>
      <c r="BK84" s="368" t="e">
        <f>COUNTIFS(#REF!,"&gt;=11/01/2019",#REF!, "&lt;=11/30/2019",#REF!,"Changed MAT Type (Explain in Notes) ")</f>
        <v>#REF!</v>
      </c>
      <c r="BL84" s="368"/>
      <c r="BM84" s="368"/>
      <c r="BN84" s="368"/>
      <c r="BO84" s="368"/>
      <c r="BP84" s="368"/>
      <c r="BQ84" s="365" t="e">
        <f t="shared" si="6"/>
        <v>#REF!</v>
      </c>
      <c r="BR84" s="365"/>
      <c r="BS84" s="365"/>
      <c r="BT84" s="365"/>
      <c r="BU84" s="365"/>
      <c r="BV84" s="365"/>
      <c r="BW84" s="363" t="e">
        <f>COUNTIFS(#REF!,"&gt;=11/01/2019",#REF!, "&lt;=11/30/2019",#REF!,"Did not use MAT ")</f>
        <v>#REF!</v>
      </c>
      <c r="BX84" s="363"/>
      <c r="BY84" s="363"/>
      <c r="BZ84" s="363"/>
      <c r="CA84" s="363"/>
      <c r="CB84" s="363"/>
    </row>
    <row r="85" spans="1:80" x14ac:dyDescent="0.25">
      <c r="A85" s="451" t="s">
        <v>351</v>
      </c>
      <c r="B85" s="451"/>
      <c r="C85" s="451"/>
      <c r="D85" s="451"/>
      <c r="E85" s="451"/>
      <c r="F85" s="451"/>
      <c r="G85" s="451"/>
      <c r="H85" s="451"/>
      <c r="I85" s="451"/>
      <c r="J85" s="388" t="e">
        <f>COUNTIFS(#REF!,"&gt;=12/01/2019",#REF!, "&lt;=12/31/2019")</f>
        <v>#REF!</v>
      </c>
      <c r="K85" s="388"/>
      <c r="L85" s="388"/>
      <c r="M85" s="388"/>
      <c r="N85" s="388"/>
      <c r="O85" s="388"/>
      <c r="P85" s="388"/>
      <c r="Q85" s="388"/>
      <c r="R85" s="388"/>
      <c r="S85" s="388"/>
      <c r="T85" s="368" t="e">
        <f>COUNTIFS(#REF!,"&gt;=12/01/2019",#REF!, "&lt;=12/31/2019",#REF!,"YES")</f>
        <v>#REF!</v>
      </c>
      <c r="U85" s="368"/>
      <c r="V85" s="368"/>
      <c r="W85" s="368"/>
      <c r="X85" s="368"/>
      <c r="Y85" s="368"/>
      <c r="Z85" s="35"/>
      <c r="AA85" s="388" t="e">
        <f>COUNTIFS(#REF!,"&gt;=12/01/2019",#REF!, "&lt;=12/31/2019",#REF!,"Methadone")</f>
        <v>#REF!</v>
      </c>
      <c r="AB85" s="388"/>
      <c r="AC85" s="388"/>
      <c r="AD85" s="388"/>
      <c r="AE85" s="388"/>
      <c r="AF85" s="388"/>
      <c r="AG85" s="388" t="e">
        <f>COUNTIFS(#REF!,"&gt;=12/01/2019",#REF!, "&lt;=12/31/2019",#REF!,"Buprenorphine Oral")</f>
        <v>#REF!</v>
      </c>
      <c r="AH85" s="388"/>
      <c r="AI85" s="388"/>
      <c r="AJ85" s="388"/>
      <c r="AK85" s="388"/>
      <c r="AL85" s="388"/>
      <c r="AM85" s="368" t="e">
        <f>COUNTIFS(#REF!,"&gt;=12/01/2019",#REF!, "&lt;=12/31/2019",#REF!,"Buprenorphine - Injectable")</f>
        <v>#REF!</v>
      </c>
      <c r="AN85" s="368"/>
      <c r="AO85" s="368"/>
      <c r="AP85" s="368"/>
      <c r="AQ85" s="368"/>
      <c r="AR85" s="368"/>
      <c r="AS85" s="368" t="e">
        <f>COUNTIFS(#REF!,"&gt;=12/01/2019",#REF!, "&lt;=12/31/2019",#REF!,"Buprenorphine Implant")</f>
        <v>#REF!</v>
      </c>
      <c r="AT85" s="368"/>
      <c r="AU85" s="368"/>
      <c r="AV85" s="368"/>
      <c r="AW85" s="368"/>
      <c r="AX85" s="368"/>
      <c r="AY85" s="368" t="e">
        <f>COUNTIFS(#REF!,"&gt;=12/01/2019",#REF!, "&lt;=12/31/2019",#REF!,"Naltrexone - Injectable ")</f>
        <v>#REF!</v>
      </c>
      <c r="AZ85" s="368"/>
      <c r="BA85" s="368"/>
      <c r="BB85" s="368"/>
      <c r="BC85" s="368"/>
      <c r="BD85" s="368"/>
      <c r="BE85" s="368" t="e">
        <f>COUNTIFS(#REF!,"&gt;=12/01/2019",#REF!, "&lt;=12/31/2019",#REF!,"Naltrexone - Oral")</f>
        <v>#REF!</v>
      </c>
      <c r="BF85" s="368"/>
      <c r="BG85" s="368"/>
      <c r="BH85" s="368"/>
      <c r="BI85" s="368"/>
      <c r="BJ85" s="368"/>
      <c r="BK85" s="368" t="e">
        <f>COUNTIFS(#REF!,"&gt;=12/01/2019",#REF!, "&lt;=12/31/2019",#REF!,"Changed MAT Type (Explain in Notes) ")</f>
        <v>#REF!</v>
      </c>
      <c r="BL85" s="368"/>
      <c r="BM85" s="368"/>
      <c r="BN85" s="368"/>
      <c r="BO85" s="368"/>
      <c r="BP85" s="368"/>
      <c r="BQ85" s="365" t="e">
        <f t="shared" si="6"/>
        <v>#REF!</v>
      </c>
      <c r="BR85" s="365"/>
      <c r="BS85" s="365"/>
      <c r="BT85" s="365"/>
      <c r="BU85" s="365"/>
      <c r="BV85" s="365"/>
      <c r="BW85" s="363" t="e">
        <f>COUNTIFS(#REF!,"&gt;=12/01/2019",#REF!, "&lt;=12/31/2019",#REF!,"Did not use MAT ")</f>
        <v>#REF!</v>
      </c>
      <c r="BX85" s="363"/>
      <c r="BY85" s="363"/>
      <c r="BZ85" s="363"/>
      <c r="CA85" s="363"/>
      <c r="CB85" s="363"/>
    </row>
    <row r="86" spans="1:80" x14ac:dyDescent="0.25">
      <c r="A86" s="451" t="s">
        <v>352</v>
      </c>
      <c r="B86" s="451"/>
      <c r="C86" s="451"/>
      <c r="D86" s="451"/>
      <c r="E86" s="451"/>
      <c r="F86" s="451"/>
      <c r="G86" s="451"/>
      <c r="H86" s="451"/>
      <c r="I86" s="451"/>
      <c r="J86" s="388" t="e">
        <f>COUNTIFS(#REF!,"&gt;=01/01/2020",#REF!, "&lt;=01/31/2020")</f>
        <v>#REF!</v>
      </c>
      <c r="K86" s="388"/>
      <c r="L86" s="388"/>
      <c r="M86" s="388"/>
      <c r="N86" s="388"/>
      <c r="O86" s="388"/>
      <c r="P86" s="388"/>
      <c r="Q86" s="388"/>
      <c r="R86" s="388"/>
      <c r="S86" s="388"/>
      <c r="T86" s="368" t="e">
        <f>COUNTIFS(#REF!,"&gt;=01/01/2020",#REF!, "&lt;=01/31/2020",#REF!,"YES")</f>
        <v>#REF!</v>
      </c>
      <c r="U86" s="368"/>
      <c r="V86" s="368"/>
      <c r="W86" s="368"/>
      <c r="X86" s="368"/>
      <c r="Y86" s="368"/>
      <c r="Z86" s="35"/>
      <c r="AA86" s="388" t="e">
        <f>COUNTIFS(#REF!,"&gt;=01/01/2020",#REF!, "&lt;=01/31/2020",#REF!,"Methadone")</f>
        <v>#REF!</v>
      </c>
      <c r="AB86" s="388"/>
      <c r="AC86" s="388"/>
      <c r="AD86" s="388"/>
      <c r="AE86" s="388"/>
      <c r="AF86" s="388"/>
      <c r="AG86" s="388" t="e">
        <f>COUNTIFS(#REF!,"&gt;=01/01/2020",#REF!, "&lt;=01/31/2020",#REF!,"Buprenorphine Oral")</f>
        <v>#REF!</v>
      </c>
      <c r="AH86" s="388"/>
      <c r="AI86" s="388"/>
      <c r="AJ86" s="388"/>
      <c r="AK86" s="388"/>
      <c r="AL86" s="388"/>
      <c r="AM86" s="368" t="e">
        <f>COUNTIFS(#REF!,"&gt;=01/01/2020",#REF!, "&lt;=01/31/2020",#REF!,"Buprenorphine - Injectable")</f>
        <v>#REF!</v>
      </c>
      <c r="AN86" s="368"/>
      <c r="AO86" s="368"/>
      <c r="AP86" s="368"/>
      <c r="AQ86" s="368"/>
      <c r="AR86" s="368"/>
      <c r="AS86" s="368" t="e">
        <f>COUNTIFS(#REF!,"&gt;=01/01/2020",#REF!, "&lt;=01/31/2020",#REF!,"Buprenorphine Implant")</f>
        <v>#REF!</v>
      </c>
      <c r="AT86" s="368"/>
      <c r="AU86" s="368"/>
      <c r="AV86" s="368"/>
      <c r="AW86" s="368"/>
      <c r="AX86" s="368"/>
      <c r="AY86" s="368" t="e">
        <f>COUNTIFS(#REF!,"&gt;=01/01/2020",#REF!, "&lt;=01/31/2020",#REF!,"Naltrexone - Injectable ")</f>
        <v>#REF!</v>
      </c>
      <c r="AZ86" s="368"/>
      <c r="BA86" s="368"/>
      <c r="BB86" s="368"/>
      <c r="BC86" s="368"/>
      <c r="BD86" s="368"/>
      <c r="BE86" s="368" t="e">
        <f>COUNTIFS(#REF!,"&gt;=01/01/2020",#REF!, "&lt;=01/31/2020",#REF!,"Naltrexone - Oral")</f>
        <v>#REF!</v>
      </c>
      <c r="BF86" s="368"/>
      <c r="BG86" s="368"/>
      <c r="BH86" s="368"/>
      <c r="BI86" s="368"/>
      <c r="BJ86" s="368"/>
      <c r="BK86" s="368" t="e">
        <f>COUNTIFS(#REF!,"&gt;=01/01/2020",#REF!, "&lt;=01/31/2020",#REF!,"Changed MAT Type (Explain in Notes) ")</f>
        <v>#REF!</v>
      </c>
      <c r="BL86" s="368"/>
      <c r="BM86" s="368"/>
      <c r="BN86" s="368"/>
      <c r="BO86" s="368"/>
      <c r="BP86" s="368"/>
      <c r="BQ86" s="365" t="e">
        <f t="shared" si="6"/>
        <v>#REF!</v>
      </c>
      <c r="BR86" s="365"/>
      <c r="BS86" s="365"/>
      <c r="BT86" s="365"/>
      <c r="BU86" s="365"/>
      <c r="BV86" s="365"/>
      <c r="BW86" s="363" t="e">
        <f>COUNTIFS(#REF!,"&gt;=01/01/2020",#REF!, "&lt;=01/31/2020",#REF!,"Did not use MAT ")</f>
        <v>#REF!</v>
      </c>
      <c r="BX86" s="363"/>
      <c r="BY86" s="363"/>
      <c r="BZ86" s="363"/>
      <c r="CA86" s="363"/>
      <c r="CB86" s="363"/>
    </row>
    <row r="87" spans="1:80" x14ac:dyDescent="0.25">
      <c r="A87" s="451" t="s">
        <v>353</v>
      </c>
      <c r="B87" s="451"/>
      <c r="C87" s="451"/>
      <c r="D87" s="451"/>
      <c r="E87" s="451"/>
      <c r="F87" s="451"/>
      <c r="G87" s="451"/>
      <c r="H87" s="451"/>
      <c r="I87" s="451"/>
      <c r="J87" s="388" t="e">
        <f>COUNTIFS(#REF!,"&gt;=02/01/2020",#REF!, "&lt;=02/28/2020")</f>
        <v>#REF!</v>
      </c>
      <c r="K87" s="388"/>
      <c r="L87" s="388"/>
      <c r="M87" s="388"/>
      <c r="N87" s="388"/>
      <c r="O87" s="388"/>
      <c r="P87" s="388"/>
      <c r="Q87" s="388"/>
      <c r="R87" s="388"/>
      <c r="S87" s="388"/>
      <c r="T87" s="368" t="e">
        <f>COUNTIFS(#REF!,"&gt;=02/01/2020",#REF!, "&lt;=02/28/2020",#REF!,"YES")</f>
        <v>#REF!</v>
      </c>
      <c r="U87" s="368"/>
      <c r="V87" s="368"/>
      <c r="W87" s="368"/>
      <c r="X87" s="368"/>
      <c r="Y87" s="368"/>
      <c r="Z87" s="35"/>
      <c r="AA87" s="388" t="e">
        <f>COUNTIFS(#REF!,"&gt;=02/01/2020",#REF!, "&lt;=02/28/2020",#REF!,"Methadone")</f>
        <v>#REF!</v>
      </c>
      <c r="AB87" s="388"/>
      <c r="AC87" s="388"/>
      <c r="AD87" s="388"/>
      <c r="AE87" s="388"/>
      <c r="AF87" s="388"/>
      <c r="AG87" s="388" t="e">
        <f>COUNTIFS(#REF!,"&gt;=02/01/2020",#REF!, "&lt;=02/28/2020",#REF!,"Buprenorphine Oral")</f>
        <v>#REF!</v>
      </c>
      <c r="AH87" s="388"/>
      <c r="AI87" s="388"/>
      <c r="AJ87" s="388"/>
      <c r="AK87" s="388"/>
      <c r="AL87" s="388"/>
      <c r="AM87" s="368" t="e">
        <f>COUNTIFS(#REF!,"&gt;=02/01/2020",#REF!, "&lt;=02/28/2020",#REF!,"Buprenorphine - Injectable")</f>
        <v>#REF!</v>
      </c>
      <c r="AN87" s="368"/>
      <c r="AO87" s="368"/>
      <c r="AP87" s="368"/>
      <c r="AQ87" s="368"/>
      <c r="AR87" s="368"/>
      <c r="AS87" s="368" t="e">
        <f>COUNTIFS(#REF!,"&gt;=02/01/2020",#REF!, "&lt;=02/28/2020",#REF!,"Buprenorphine Implant")</f>
        <v>#REF!</v>
      </c>
      <c r="AT87" s="368"/>
      <c r="AU87" s="368"/>
      <c r="AV87" s="368"/>
      <c r="AW87" s="368"/>
      <c r="AX87" s="368"/>
      <c r="AY87" s="368" t="e">
        <f>COUNTIFS(#REF!,"&gt;=02/01/2020",#REF!, "&lt;=02/28/2020",#REF!,"Naltrexone - Injectable ")</f>
        <v>#REF!</v>
      </c>
      <c r="AZ87" s="368"/>
      <c r="BA87" s="368"/>
      <c r="BB87" s="368"/>
      <c r="BC87" s="368"/>
      <c r="BD87" s="368"/>
      <c r="BE87" s="368" t="e">
        <f>COUNTIFS(#REF!,"&gt;=02/01/2020",#REF!, "&lt;=02/28/2020",#REF!,"Naltrexone - Oral")</f>
        <v>#REF!</v>
      </c>
      <c r="BF87" s="368"/>
      <c r="BG87" s="368"/>
      <c r="BH87" s="368"/>
      <c r="BI87" s="368"/>
      <c r="BJ87" s="368"/>
      <c r="BK87" s="368" t="e">
        <f>COUNTIFS(#REF!,"&gt;=02/01/2020",#REF!, "&lt;=02/28/2020",#REF!,"Changed MAT Type (Explain in Notes) ")</f>
        <v>#REF!</v>
      </c>
      <c r="BL87" s="368"/>
      <c r="BM87" s="368"/>
      <c r="BN87" s="368"/>
      <c r="BO87" s="368"/>
      <c r="BP87" s="368"/>
      <c r="BQ87" s="365" t="e">
        <f t="shared" si="6"/>
        <v>#REF!</v>
      </c>
      <c r="BR87" s="365"/>
      <c r="BS87" s="365"/>
      <c r="BT87" s="365"/>
      <c r="BU87" s="365"/>
      <c r="BV87" s="365"/>
      <c r="BW87" s="363" t="e">
        <f>COUNTIFS(#REF!,"&gt;=02/01/2020",#REF!, "&lt;=02/28/2020",#REF!,"Did not use MAT ")</f>
        <v>#REF!</v>
      </c>
      <c r="BX87" s="363"/>
      <c r="BY87" s="363"/>
      <c r="BZ87" s="363"/>
      <c r="CA87" s="363"/>
      <c r="CB87" s="363"/>
    </row>
    <row r="88" spans="1:80" x14ac:dyDescent="0.25">
      <c r="A88" s="451" t="s">
        <v>354</v>
      </c>
      <c r="B88" s="451"/>
      <c r="C88" s="451"/>
      <c r="D88" s="451"/>
      <c r="E88" s="451"/>
      <c r="F88" s="451"/>
      <c r="G88" s="451"/>
      <c r="H88" s="451"/>
      <c r="I88" s="451"/>
      <c r="J88" s="388" t="e">
        <f>COUNTIFS(#REF!,"&gt;=03/01/2020",#REF!, "&lt;=03/31/2020")</f>
        <v>#REF!</v>
      </c>
      <c r="K88" s="388"/>
      <c r="L88" s="388"/>
      <c r="M88" s="388"/>
      <c r="N88" s="388"/>
      <c r="O88" s="388"/>
      <c r="P88" s="388"/>
      <c r="Q88" s="388"/>
      <c r="R88" s="388"/>
      <c r="S88" s="388"/>
      <c r="T88" s="368" t="e">
        <f>COUNTIFS(#REF!,"&gt;=03/01/2020",#REF!, "&lt;=03/31/2020",#REF!,"YES")</f>
        <v>#REF!</v>
      </c>
      <c r="U88" s="368"/>
      <c r="V88" s="368"/>
      <c r="W88" s="368"/>
      <c r="X88" s="368"/>
      <c r="Y88" s="368"/>
      <c r="Z88" s="35"/>
      <c r="AA88" s="388" t="e">
        <f>COUNTIFS(#REF!,"&gt;=03/01/2020",#REF!, "&lt;=03/31/2020",#REF!,"Methadone")</f>
        <v>#REF!</v>
      </c>
      <c r="AB88" s="388"/>
      <c r="AC88" s="388"/>
      <c r="AD88" s="388"/>
      <c r="AE88" s="388"/>
      <c r="AF88" s="388"/>
      <c r="AG88" s="388" t="e">
        <f>COUNTIFS(#REF!,"&gt;=03/01/2020",#REF!, "&lt;=03/31/2020",#REF!,"Buprenorphine Oral")</f>
        <v>#REF!</v>
      </c>
      <c r="AH88" s="388"/>
      <c r="AI88" s="388"/>
      <c r="AJ88" s="388"/>
      <c r="AK88" s="388"/>
      <c r="AL88" s="388"/>
      <c r="AM88" s="368" t="e">
        <f>COUNTIFS(#REF!,"&gt;=03/01/2020",#REF!, "&lt;=03/31/2020",#REF!,"Buprenorphine - Injectable")</f>
        <v>#REF!</v>
      </c>
      <c r="AN88" s="368"/>
      <c r="AO88" s="368"/>
      <c r="AP88" s="368"/>
      <c r="AQ88" s="368"/>
      <c r="AR88" s="368"/>
      <c r="AS88" s="368" t="e">
        <f>COUNTIFS(#REF!,"&gt;=03/01/2020",#REF!, "&lt;=03/31/2020",#REF!,"Buprenorphine Implant")</f>
        <v>#REF!</v>
      </c>
      <c r="AT88" s="368"/>
      <c r="AU88" s="368"/>
      <c r="AV88" s="368"/>
      <c r="AW88" s="368"/>
      <c r="AX88" s="368"/>
      <c r="AY88" s="368" t="e">
        <f>COUNTIFS(#REF!,"&gt;=03/01/2020",#REF!, "&lt;=03/31/2020",#REF!,"Naltrexone - Injectable ")</f>
        <v>#REF!</v>
      </c>
      <c r="AZ88" s="368"/>
      <c r="BA88" s="368"/>
      <c r="BB88" s="368"/>
      <c r="BC88" s="368"/>
      <c r="BD88" s="368"/>
      <c r="BE88" s="368" t="e">
        <f>COUNTIFS(#REF!,"&gt;=03/01/2020",#REF!, "&lt;=03/31/2020",#REF!,"Naltrexone - Oral")</f>
        <v>#REF!</v>
      </c>
      <c r="BF88" s="368"/>
      <c r="BG88" s="368"/>
      <c r="BH88" s="368"/>
      <c r="BI88" s="368"/>
      <c r="BJ88" s="368"/>
      <c r="BK88" s="368" t="e">
        <f>COUNTIFS(#REF!,"&gt;=03/01/2020",#REF!, "&lt;=03/31/2020",#REF!,"Changed MAT Type (Explain in Notes) ")</f>
        <v>#REF!</v>
      </c>
      <c r="BL88" s="368"/>
      <c r="BM88" s="368"/>
      <c r="BN88" s="368"/>
      <c r="BO88" s="368"/>
      <c r="BP88" s="368"/>
      <c r="BQ88" s="365" t="e">
        <f t="shared" si="6"/>
        <v>#REF!</v>
      </c>
      <c r="BR88" s="365"/>
      <c r="BS88" s="365"/>
      <c r="BT88" s="365"/>
      <c r="BU88" s="365"/>
      <c r="BV88" s="365"/>
      <c r="BW88" s="363" t="e">
        <f>COUNTIFS(#REF!,"&gt;=03/01/2020",#REF!, "&lt;=03/31/2020",#REF!,"Did not use MAT ")</f>
        <v>#REF!</v>
      </c>
      <c r="BX88" s="363"/>
      <c r="BY88" s="363"/>
      <c r="BZ88" s="363"/>
      <c r="CA88" s="363"/>
      <c r="CB88" s="363"/>
    </row>
    <row r="89" spans="1:80" x14ac:dyDescent="0.25">
      <c r="A89" s="451" t="s">
        <v>355</v>
      </c>
      <c r="B89" s="451"/>
      <c r="C89" s="451"/>
      <c r="D89" s="451"/>
      <c r="E89" s="451"/>
      <c r="F89" s="451"/>
      <c r="G89" s="451"/>
      <c r="H89" s="451"/>
      <c r="I89" s="451"/>
      <c r="J89" s="388" t="e">
        <f>COUNTIFS(#REF!,"&gt;=04/01/2020",#REF!, "&lt;=04/30/2020")</f>
        <v>#REF!</v>
      </c>
      <c r="K89" s="388"/>
      <c r="L89" s="388"/>
      <c r="M89" s="388"/>
      <c r="N89" s="388"/>
      <c r="O89" s="388"/>
      <c r="P89" s="388"/>
      <c r="Q89" s="388"/>
      <c r="R89" s="388"/>
      <c r="S89" s="388"/>
      <c r="T89" s="368" t="e">
        <f>COUNTIFS(#REF!,"&gt;=04/01/2020",#REF!, "&lt;=04/30/2020",#REF!,"YES")</f>
        <v>#REF!</v>
      </c>
      <c r="U89" s="368"/>
      <c r="V89" s="368"/>
      <c r="W89" s="368"/>
      <c r="X89" s="368"/>
      <c r="Y89" s="368"/>
      <c r="Z89" s="35"/>
      <c r="AA89" s="388" t="e">
        <f>COUNTIFS(#REF!,"&gt;=04/01/2020",#REF!, "&lt;=04/30/2020",#REF!,"Methadone")</f>
        <v>#REF!</v>
      </c>
      <c r="AB89" s="388"/>
      <c r="AC89" s="388"/>
      <c r="AD89" s="388"/>
      <c r="AE89" s="388"/>
      <c r="AF89" s="388"/>
      <c r="AG89" s="388" t="e">
        <f>COUNTIFS(#REF!,"&gt;=04/01/2020",#REF!, "&lt;=04/30/2020",#REF!,"Buprenorphine Oral")</f>
        <v>#REF!</v>
      </c>
      <c r="AH89" s="388"/>
      <c r="AI89" s="388"/>
      <c r="AJ89" s="388"/>
      <c r="AK89" s="388"/>
      <c r="AL89" s="388"/>
      <c r="AM89" s="368" t="e">
        <f>COUNTIFS(#REF!,"&gt;=04/01/2020",#REF!, "&lt;=04/30/2020",#REF!,"Buprenorphine - Injectable")</f>
        <v>#REF!</v>
      </c>
      <c r="AN89" s="368"/>
      <c r="AO89" s="368"/>
      <c r="AP89" s="368"/>
      <c r="AQ89" s="368"/>
      <c r="AR89" s="368"/>
      <c r="AS89" s="368" t="e">
        <f>COUNTIFS(#REF!,"&gt;=04/01/2020",#REF!, "&lt;=04/30/2020",#REF!,"Buprenorphine Implant")</f>
        <v>#REF!</v>
      </c>
      <c r="AT89" s="368"/>
      <c r="AU89" s="368"/>
      <c r="AV89" s="368"/>
      <c r="AW89" s="368"/>
      <c r="AX89" s="368"/>
      <c r="AY89" s="368" t="e">
        <f>COUNTIFS(#REF!,"&gt;=04/01/2020",#REF!, "&lt;=04/30/2020",#REF!,"Naltrexone - Injectable ")</f>
        <v>#REF!</v>
      </c>
      <c r="AZ89" s="368"/>
      <c r="BA89" s="368"/>
      <c r="BB89" s="368"/>
      <c r="BC89" s="368"/>
      <c r="BD89" s="368"/>
      <c r="BE89" s="368" t="e">
        <f>COUNTIFS(#REF!,"&gt;=04/01/2020",#REF!, "&lt;=04/30/2020",#REF!,"Naltrexone - Oral")</f>
        <v>#REF!</v>
      </c>
      <c r="BF89" s="368"/>
      <c r="BG89" s="368"/>
      <c r="BH89" s="368"/>
      <c r="BI89" s="368"/>
      <c r="BJ89" s="368"/>
      <c r="BK89" s="368" t="e">
        <f>COUNTIFS(#REF!,"&gt;=04/01/2020",#REF!, "&lt;=04/30/2020",#REF!,"Changed MAT Type (Explain in Notes) ")</f>
        <v>#REF!</v>
      </c>
      <c r="BL89" s="368"/>
      <c r="BM89" s="368"/>
      <c r="BN89" s="368"/>
      <c r="BO89" s="368"/>
      <c r="BP89" s="368"/>
      <c r="BQ89" s="365" t="e">
        <f t="shared" si="6"/>
        <v>#REF!</v>
      </c>
      <c r="BR89" s="365"/>
      <c r="BS89" s="365"/>
      <c r="BT89" s="365"/>
      <c r="BU89" s="365"/>
      <c r="BV89" s="365"/>
      <c r="BW89" s="363" t="e">
        <f>COUNTIFS(#REF!,"&gt;=04/01/2020",#REF!, "&lt;=04/30/2020",#REF!,"Did not use MAT ")</f>
        <v>#REF!</v>
      </c>
      <c r="BX89" s="363"/>
      <c r="BY89" s="363"/>
      <c r="BZ89" s="363"/>
      <c r="CA89" s="363"/>
      <c r="CB89" s="363"/>
    </row>
    <row r="90" spans="1:80" x14ac:dyDescent="0.25">
      <c r="A90" s="451" t="s">
        <v>363</v>
      </c>
      <c r="B90" s="451"/>
      <c r="C90" s="451"/>
      <c r="D90" s="451"/>
      <c r="E90" s="451"/>
      <c r="F90" s="451"/>
      <c r="G90" s="451"/>
      <c r="H90" s="451"/>
      <c r="I90" s="451"/>
      <c r="J90" s="388" t="e">
        <f>COUNTIFS(#REF!,"&gt;=05/01/2020",#REF!, "&lt;=05/31/2020")</f>
        <v>#REF!</v>
      </c>
      <c r="K90" s="388"/>
      <c r="L90" s="388"/>
      <c r="M90" s="388"/>
      <c r="N90" s="388"/>
      <c r="O90" s="388"/>
      <c r="P90" s="388"/>
      <c r="Q90" s="388"/>
      <c r="R90" s="388"/>
      <c r="S90" s="388"/>
      <c r="T90" s="368" t="e">
        <f>COUNTIFS(#REF!,"&gt;=05/01/2020",#REF!, "&lt;=05/31/2020",#REF!,"YES")</f>
        <v>#REF!</v>
      </c>
      <c r="U90" s="368"/>
      <c r="V90" s="368"/>
      <c r="W90" s="368"/>
      <c r="X90" s="368"/>
      <c r="Y90" s="368"/>
      <c r="Z90" s="35"/>
      <c r="AA90" s="388" t="e">
        <f>COUNTIFS(#REF!,"&gt;=05/01/2020",#REF!, "&lt;=05/31/2020",#REF!,"Methadone")</f>
        <v>#REF!</v>
      </c>
      <c r="AB90" s="388"/>
      <c r="AC90" s="388"/>
      <c r="AD90" s="388"/>
      <c r="AE90" s="388"/>
      <c r="AF90" s="388"/>
      <c r="AG90" s="388" t="e">
        <f>COUNTIFS(#REF!,"&gt;=05/01/2020",#REF!, "&lt;=05/31/2020",#REF!,"Buprenorphine Oral")</f>
        <v>#REF!</v>
      </c>
      <c r="AH90" s="388"/>
      <c r="AI90" s="388"/>
      <c r="AJ90" s="388"/>
      <c r="AK90" s="388"/>
      <c r="AL90" s="388"/>
      <c r="AM90" s="368" t="e">
        <f>COUNTIFS(#REF!,"&gt;=05/01/2020",#REF!, "&lt;=05/31/2020",#REF!,"Buprenorphine - Injectable")</f>
        <v>#REF!</v>
      </c>
      <c r="AN90" s="368"/>
      <c r="AO90" s="368"/>
      <c r="AP90" s="368"/>
      <c r="AQ90" s="368"/>
      <c r="AR90" s="368"/>
      <c r="AS90" s="368" t="e">
        <f>COUNTIFS(#REF!,"&gt;=05/01/2020",#REF!, "&lt;=05/31/2020",#REF!,"Buprenorphine Implant")</f>
        <v>#REF!</v>
      </c>
      <c r="AT90" s="368"/>
      <c r="AU90" s="368"/>
      <c r="AV90" s="368"/>
      <c r="AW90" s="368"/>
      <c r="AX90" s="368"/>
      <c r="AY90" s="368" t="e">
        <f>COUNTIFS(#REF!,"&gt;=05/01/2020",#REF!, "&lt;=05/31/2020",#REF!,"Naltrexone - Injectable ")</f>
        <v>#REF!</v>
      </c>
      <c r="AZ90" s="368"/>
      <c r="BA90" s="368"/>
      <c r="BB90" s="368"/>
      <c r="BC90" s="368"/>
      <c r="BD90" s="368"/>
      <c r="BE90" s="368" t="e">
        <f>COUNTIFS(#REF!,"&gt;=05/01/2020",#REF!, "&lt;=05/31/2020",#REF!,"Naltrexone - Oral")</f>
        <v>#REF!</v>
      </c>
      <c r="BF90" s="368"/>
      <c r="BG90" s="368"/>
      <c r="BH90" s="368"/>
      <c r="BI90" s="368"/>
      <c r="BJ90" s="368"/>
      <c r="BK90" s="368" t="e">
        <f>COUNTIFS(#REF!,"&gt;=05/01/2020",#REF!, "&lt;=05/31/2020",#REF!,"Changed MAT Type (Explain in Notes) ")</f>
        <v>#REF!</v>
      </c>
      <c r="BL90" s="368"/>
      <c r="BM90" s="368"/>
      <c r="BN90" s="368"/>
      <c r="BO90" s="368"/>
      <c r="BP90" s="368"/>
      <c r="BQ90" s="365" t="e">
        <f t="shared" si="6"/>
        <v>#REF!</v>
      </c>
      <c r="BR90" s="365"/>
      <c r="BS90" s="365"/>
      <c r="BT90" s="365"/>
      <c r="BU90" s="365"/>
      <c r="BV90" s="365"/>
      <c r="BW90" s="363" t="e">
        <f>COUNTIFS(#REF!,"&gt;=05/01/2020",#REF!, "&lt;=05/31/2020",#REF!,"Did not use MAT ")</f>
        <v>#REF!</v>
      </c>
      <c r="BX90" s="363"/>
      <c r="BY90" s="363"/>
      <c r="BZ90" s="363"/>
      <c r="CA90" s="363"/>
      <c r="CB90" s="363"/>
    </row>
    <row r="91" spans="1:80" x14ac:dyDescent="0.25">
      <c r="A91" s="451" t="s">
        <v>356</v>
      </c>
      <c r="B91" s="451"/>
      <c r="C91" s="451"/>
      <c r="D91" s="451"/>
      <c r="E91" s="451"/>
      <c r="F91" s="451"/>
      <c r="G91" s="451"/>
      <c r="H91" s="451"/>
      <c r="I91" s="451"/>
      <c r="J91" s="388" t="e">
        <f>COUNTIFS(#REF!,"&gt;=06/01/2020",#REF!, "&lt;=06/30/2020")</f>
        <v>#REF!</v>
      </c>
      <c r="K91" s="388"/>
      <c r="L91" s="388"/>
      <c r="M91" s="388"/>
      <c r="N91" s="388"/>
      <c r="O91" s="388"/>
      <c r="P91" s="388"/>
      <c r="Q91" s="388"/>
      <c r="R91" s="388"/>
      <c r="S91" s="388"/>
      <c r="T91" s="368" t="e">
        <f>COUNTIFS(#REF!,"&gt;=06/01/2020",#REF!, "&lt;=06/30/2020",#REF!,"YES")</f>
        <v>#REF!</v>
      </c>
      <c r="U91" s="368"/>
      <c r="V91" s="368"/>
      <c r="W91" s="368"/>
      <c r="X91" s="368"/>
      <c r="Y91" s="368"/>
      <c r="Z91" s="35"/>
      <c r="AA91" s="388" t="e">
        <f>COUNTIFS(#REF!,"&gt;=06/01/2020",#REF!, "&lt;=06/30/2020",#REF!,"Methadone")</f>
        <v>#REF!</v>
      </c>
      <c r="AB91" s="388"/>
      <c r="AC91" s="388"/>
      <c r="AD91" s="388"/>
      <c r="AE91" s="388"/>
      <c r="AF91" s="388"/>
      <c r="AG91" s="388" t="e">
        <f>COUNTIFS(#REF!,"&gt;=06/01/2020",#REF!, "&lt;=06/30/2020",#REF!,"Buprenorphine Oral")</f>
        <v>#REF!</v>
      </c>
      <c r="AH91" s="388"/>
      <c r="AI91" s="388"/>
      <c r="AJ91" s="388"/>
      <c r="AK91" s="388"/>
      <c r="AL91" s="388"/>
      <c r="AM91" s="368" t="e">
        <f>COUNTIFS(#REF!,"&gt;=06/01/2020",#REF!, "&lt;=06/30/2020",#REF!,"Buprenorphine - Injectable")</f>
        <v>#REF!</v>
      </c>
      <c r="AN91" s="368"/>
      <c r="AO91" s="368"/>
      <c r="AP91" s="368"/>
      <c r="AQ91" s="368"/>
      <c r="AR91" s="368"/>
      <c r="AS91" s="368" t="e">
        <f>COUNTIFS(#REF!,"&gt;=06/01/2020",#REF!, "&lt;=06/30/2020",#REF!,"Buprenorphine Implant")</f>
        <v>#REF!</v>
      </c>
      <c r="AT91" s="368"/>
      <c r="AU91" s="368"/>
      <c r="AV91" s="368"/>
      <c r="AW91" s="368"/>
      <c r="AX91" s="368"/>
      <c r="AY91" s="368" t="e">
        <f>COUNTIFS(#REF!,"&gt;=06/01/2020",#REF!, "&lt;=06/30/2020",#REF!,"Naltrexone - Injectable ")</f>
        <v>#REF!</v>
      </c>
      <c r="AZ91" s="368"/>
      <c r="BA91" s="368"/>
      <c r="BB91" s="368"/>
      <c r="BC91" s="368"/>
      <c r="BD91" s="368"/>
      <c r="BE91" s="368" t="e">
        <f>COUNTIFS(#REF!,"&gt;=06/01/2020",#REF!, "&lt;=06/30/2020",#REF!,"Naltrexone - Oral")</f>
        <v>#REF!</v>
      </c>
      <c r="BF91" s="368"/>
      <c r="BG91" s="368"/>
      <c r="BH91" s="368"/>
      <c r="BI91" s="368"/>
      <c r="BJ91" s="368"/>
      <c r="BK91" s="368" t="e">
        <f>COUNTIFS(#REF!,"&gt;=06/01/2020",#REF!, "&lt;=06/30/2020",#REF!,"Changed MAT Type (Explain in Notes) ")</f>
        <v>#REF!</v>
      </c>
      <c r="BL91" s="368"/>
      <c r="BM91" s="368"/>
      <c r="BN91" s="368"/>
      <c r="BO91" s="368"/>
      <c r="BP91" s="368"/>
      <c r="BQ91" s="365" t="e">
        <f t="shared" si="6"/>
        <v>#REF!</v>
      </c>
      <c r="BR91" s="365"/>
      <c r="BS91" s="365"/>
      <c r="BT91" s="365"/>
      <c r="BU91" s="365"/>
      <c r="BV91" s="365"/>
      <c r="BW91" s="363" t="e">
        <f>COUNTIFS(#REF!,"&gt;=06/01/2020",#REF!, "&lt;=06/30/2020",#REF!,"Did not use MAT ")</f>
        <v>#REF!</v>
      </c>
      <c r="BX91" s="363"/>
      <c r="BY91" s="363"/>
      <c r="BZ91" s="363"/>
      <c r="CA91" s="363"/>
      <c r="CB91" s="363"/>
    </row>
    <row r="92" spans="1:80" x14ac:dyDescent="0.25">
      <c r="A92" s="451" t="s">
        <v>357</v>
      </c>
      <c r="B92" s="451"/>
      <c r="C92" s="451"/>
      <c r="D92" s="451"/>
      <c r="E92" s="451"/>
      <c r="F92" s="451"/>
      <c r="G92" s="451"/>
      <c r="H92" s="451"/>
      <c r="I92" s="451"/>
      <c r="J92" s="388" t="e">
        <f>COUNTIFS(#REF!,"&gt;=07/01/2020",#REF!, "&lt;=07/31/2020")</f>
        <v>#REF!</v>
      </c>
      <c r="K92" s="388"/>
      <c r="L92" s="388"/>
      <c r="M92" s="388"/>
      <c r="N92" s="388"/>
      <c r="O92" s="388"/>
      <c r="P92" s="388"/>
      <c r="Q92" s="388"/>
      <c r="R92" s="388"/>
      <c r="S92" s="388"/>
      <c r="T92" s="368" t="e">
        <f>COUNTIFS(#REF!,"&gt;=07/01/2020",#REF!, "&lt;=07/31/2020",#REF!,"YES")</f>
        <v>#REF!</v>
      </c>
      <c r="U92" s="368"/>
      <c r="V92" s="368"/>
      <c r="W92" s="368"/>
      <c r="X92" s="368"/>
      <c r="Y92" s="368"/>
      <c r="Z92" s="35"/>
      <c r="AA92" s="388" t="e">
        <f>COUNTIFS(#REF!,"&gt;=07/01/2020",#REF!, "&lt;=07/31/2020",#REF!,"Methadone")</f>
        <v>#REF!</v>
      </c>
      <c r="AB92" s="388"/>
      <c r="AC92" s="388"/>
      <c r="AD92" s="388"/>
      <c r="AE92" s="388"/>
      <c r="AF92" s="388"/>
      <c r="AG92" s="388" t="e">
        <f>COUNTIFS(#REF!,"&gt;=07/01/2020",#REF!, "&lt;=07/31/2020",#REF!,"Buprenorphine Oral")</f>
        <v>#REF!</v>
      </c>
      <c r="AH92" s="388"/>
      <c r="AI92" s="388"/>
      <c r="AJ92" s="388"/>
      <c r="AK92" s="388"/>
      <c r="AL92" s="388"/>
      <c r="AM92" s="368" t="e">
        <f>COUNTIFS(#REF!,"&gt;=07/01/2020",#REF!, "&lt;=07/31/2020",#REF!,"Buprenorphine - Injectable")</f>
        <v>#REF!</v>
      </c>
      <c r="AN92" s="368"/>
      <c r="AO92" s="368"/>
      <c r="AP92" s="368"/>
      <c r="AQ92" s="368"/>
      <c r="AR92" s="368"/>
      <c r="AS92" s="368" t="e">
        <f>COUNTIFS(#REF!,"&gt;=07/01/2020",#REF!, "&lt;=07/31/2020",#REF!,"Buprenorphine Implant")</f>
        <v>#REF!</v>
      </c>
      <c r="AT92" s="368"/>
      <c r="AU92" s="368"/>
      <c r="AV92" s="368"/>
      <c r="AW92" s="368"/>
      <c r="AX92" s="368"/>
      <c r="AY92" s="368" t="e">
        <f>COUNTIFS(#REF!,"&gt;=07/01/2020",#REF!, "&lt;=07/31/2020",#REF!,"Naltrexone - Injectable ")</f>
        <v>#REF!</v>
      </c>
      <c r="AZ92" s="368"/>
      <c r="BA92" s="368"/>
      <c r="BB92" s="368"/>
      <c r="BC92" s="368"/>
      <c r="BD92" s="368"/>
      <c r="BE92" s="368" t="e">
        <f>COUNTIFS(#REF!,"&gt;=07/01/2020",#REF!, "&lt;=07/31/2020",#REF!,"Naltrexone - Oral")</f>
        <v>#REF!</v>
      </c>
      <c r="BF92" s="368"/>
      <c r="BG92" s="368"/>
      <c r="BH92" s="368"/>
      <c r="BI92" s="368"/>
      <c r="BJ92" s="368"/>
      <c r="BK92" s="368" t="e">
        <f>COUNTIFS(#REF!,"&gt;=07/01/2020",#REF!, "&lt;=07/31/2020",#REF!,"Changed MAT Type (Explain in Notes) ")</f>
        <v>#REF!</v>
      </c>
      <c r="BL92" s="368"/>
      <c r="BM92" s="368"/>
      <c r="BN92" s="368"/>
      <c r="BO92" s="368"/>
      <c r="BP92" s="368"/>
      <c r="BQ92" s="365" t="e">
        <f t="shared" si="6"/>
        <v>#REF!</v>
      </c>
      <c r="BR92" s="365"/>
      <c r="BS92" s="365"/>
      <c r="BT92" s="365"/>
      <c r="BU92" s="365"/>
      <c r="BV92" s="365"/>
      <c r="BW92" s="363" t="e">
        <f>COUNTIFS(#REF!,"&gt;=07/01/2020",#REF!, "&lt;=07/31/2020",#REF!,"Did not use MAT ")</f>
        <v>#REF!</v>
      </c>
      <c r="BX92" s="363"/>
      <c r="BY92" s="363"/>
      <c r="BZ92" s="363"/>
      <c r="CA92" s="363"/>
      <c r="CB92" s="363"/>
    </row>
    <row r="93" spans="1:80" x14ac:dyDescent="0.25">
      <c r="A93" s="451" t="s">
        <v>358</v>
      </c>
      <c r="B93" s="451"/>
      <c r="C93" s="451"/>
      <c r="D93" s="451"/>
      <c r="E93" s="451"/>
      <c r="F93" s="451"/>
      <c r="G93" s="451"/>
      <c r="H93" s="451"/>
      <c r="I93" s="451"/>
      <c r="J93" s="388" t="e">
        <f>COUNTIFS(#REF!,"&gt;=08/01/2020",#REF!, "&lt;=08/31/2020")</f>
        <v>#REF!</v>
      </c>
      <c r="K93" s="388"/>
      <c r="L93" s="388"/>
      <c r="M93" s="388"/>
      <c r="N93" s="388"/>
      <c r="O93" s="388"/>
      <c r="P93" s="388"/>
      <c r="Q93" s="388"/>
      <c r="R93" s="388"/>
      <c r="S93" s="388"/>
      <c r="T93" s="368" t="e">
        <f>COUNTIFS(#REF!,"&gt;=08/01/2020",#REF!, "&lt;=08/31/2020",#REF!,"YES")</f>
        <v>#REF!</v>
      </c>
      <c r="U93" s="368"/>
      <c r="V93" s="368"/>
      <c r="W93" s="368"/>
      <c r="X93" s="368"/>
      <c r="Y93" s="368"/>
      <c r="Z93" s="35"/>
      <c r="AA93" s="388" t="e">
        <f>COUNTIFS(#REF!,"&gt;=08/01/2020",#REF!, "&lt;=08/31/2020",#REF!,"Methadone")</f>
        <v>#REF!</v>
      </c>
      <c r="AB93" s="388"/>
      <c r="AC93" s="388"/>
      <c r="AD93" s="388"/>
      <c r="AE93" s="388"/>
      <c r="AF93" s="388"/>
      <c r="AG93" s="388" t="e">
        <f>COUNTIFS(#REF!,"&gt;=08/01/2020",#REF!, "&lt;=08/31/2020",#REF!,"Buprenorphine Oral")</f>
        <v>#REF!</v>
      </c>
      <c r="AH93" s="388"/>
      <c r="AI93" s="388"/>
      <c r="AJ93" s="388"/>
      <c r="AK93" s="388"/>
      <c r="AL93" s="388"/>
      <c r="AM93" s="368" t="e">
        <f>COUNTIFS(#REF!,"&gt;=08/01/2020",#REF!, "&lt;=08/31/2020",#REF!,"Buprenorphine - Injectable")</f>
        <v>#REF!</v>
      </c>
      <c r="AN93" s="368"/>
      <c r="AO93" s="368"/>
      <c r="AP93" s="368"/>
      <c r="AQ93" s="368"/>
      <c r="AR93" s="368"/>
      <c r="AS93" s="368" t="e">
        <f>COUNTIFS(#REF!,"&gt;=08/01/2020",#REF!, "&lt;=08/31/2020",#REF!,"Buprenorphine Implant")</f>
        <v>#REF!</v>
      </c>
      <c r="AT93" s="368"/>
      <c r="AU93" s="368"/>
      <c r="AV93" s="368"/>
      <c r="AW93" s="368"/>
      <c r="AX93" s="368"/>
      <c r="AY93" s="368" t="e">
        <f>COUNTIFS(#REF!,"&gt;=08/01/2020",#REF!, "&lt;=08/31/2020",#REF!,"Naltrexone - Injectable ")</f>
        <v>#REF!</v>
      </c>
      <c r="AZ93" s="368"/>
      <c r="BA93" s="368"/>
      <c r="BB93" s="368"/>
      <c r="BC93" s="368"/>
      <c r="BD93" s="368"/>
      <c r="BE93" s="368" t="e">
        <f>COUNTIFS(#REF!,"&gt;=08/01/2020",#REF!, "&lt;=08/31/2020",#REF!,"Naltrexone - Oral")</f>
        <v>#REF!</v>
      </c>
      <c r="BF93" s="368"/>
      <c r="BG93" s="368"/>
      <c r="BH93" s="368"/>
      <c r="BI93" s="368"/>
      <c r="BJ93" s="368"/>
      <c r="BK93" s="368" t="e">
        <f>COUNTIFS(#REF!,"&gt;=08/01/2020",#REF!, "&lt;=08/31/2020",#REF!,"Changed MAT Type (Explain in Notes) ")</f>
        <v>#REF!</v>
      </c>
      <c r="BL93" s="368"/>
      <c r="BM93" s="368"/>
      <c r="BN93" s="368"/>
      <c r="BO93" s="368"/>
      <c r="BP93" s="368"/>
      <c r="BQ93" s="365" t="e">
        <f t="shared" si="6"/>
        <v>#REF!</v>
      </c>
      <c r="BR93" s="365"/>
      <c r="BS93" s="365"/>
      <c r="BT93" s="365"/>
      <c r="BU93" s="365"/>
      <c r="BV93" s="365"/>
      <c r="BW93" s="363" t="e">
        <f>COUNTIFS(#REF!,"&gt;=08/01/2020",#REF!, "&lt;=08/31/2020",#REF!,"Did not use MAT ")</f>
        <v>#REF!</v>
      </c>
      <c r="BX93" s="363"/>
      <c r="BY93" s="363"/>
      <c r="BZ93" s="363"/>
      <c r="CA93" s="363"/>
      <c r="CB93" s="363"/>
    </row>
    <row r="94" spans="1:80" x14ac:dyDescent="0.25">
      <c r="A94" s="451" t="s">
        <v>359</v>
      </c>
      <c r="B94" s="451"/>
      <c r="C94" s="451"/>
      <c r="D94" s="451"/>
      <c r="E94" s="451"/>
      <c r="F94" s="451"/>
      <c r="G94" s="451"/>
      <c r="H94" s="451"/>
      <c r="I94" s="451"/>
      <c r="J94" s="388" t="e">
        <f>COUNTIFS(#REF!,"&gt;=09/01/2020",#REF!, "&lt;=09/30/2020")</f>
        <v>#REF!</v>
      </c>
      <c r="K94" s="388"/>
      <c r="L94" s="388"/>
      <c r="M94" s="388"/>
      <c r="N94" s="388"/>
      <c r="O94" s="388"/>
      <c r="P94" s="388"/>
      <c r="Q94" s="388"/>
      <c r="R94" s="388"/>
      <c r="S94" s="388"/>
      <c r="T94" s="368" t="e">
        <f>COUNTIFS(#REF!,"&gt;=09/01/2020",#REF!, "&lt;=09/30/2020",#REF!,"YES")</f>
        <v>#REF!</v>
      </c>
      <c r="U94" s="368"/>
      <c r="V94" s="368"/>
      <c r="W94" s="368"/>
      <c r="X94" s="368"/>
      <c r="Y94" s="368"/>
      <c r="Z94" s="35"/>
      <c r="AA94" s="388" t="e">
        <f>COUNTIFS(#REF!,"&gt;=09/01/2020",#REF!, "&lt;=09/30/2020",#REF!,"Methadone")</f>
        <v>#REF!</v>
      </c>
      <c r="AB94" s="388"/>
      <c r="AC94" s="388"/>
      <c r="AD94" s="388"/>
      <c r="AE94" s="388"/>
      <c r="AF94" s="388"/>
      <c r="AG94" s="388" t="e">
        <f>COUNTIFS(#REF!,"&gt;=09/01/2020",#REF!,"&lt;=09/30/2020",#REF!,"Buprenorphine Oral")</f>
        <v>#REF!</v>
      </c>
      <c r="AH94" s="388"/>
      <c r="AI94" s="388"/>
      <c r="AJ94" s="388"/>
      <c r="AK94" s="388"/>
      <c r="AL94" s="388"/>
      <c r="AM94" s="368" t="e">
        <f>COUNTIFS(#REF!,"&gt;=09/01/2020",#REF!, "&lt;=09/30/2020",#REF!,"Buprenorphine - Injectable")</f>
        <v>#REF!</v>
      </c>
      <c r="AN94" s="368"/>
      <c r="AO94" s="368"/>
      <c r="AP94" s="368"/>
      <c r="AQ94" s="368"/>
      <c r="AR94" s="368"/>
      <c r="AS94" s="368" t="e">
        <f>COUNTIFS(#REF!,"&gt;=09/01/2020",#REF!, "&lt;=09/30/2020",#REF!,"Buprenorphine Implant")</f>
        <v>#REF!</v>
      </c>
      <c r="AT94" s="368"/>
      <c r="AU94" s="368"/>
      <c r="AV94" s="368"/>
      <c r="AW94" s="368"/>
      <c r="AX94" s="368"/>
      <c r="AY94" s="368" t="e">
        <f>COUNTIFS(#REF!,"&gt;=09/01/2020",#REF!, "&lt;=09/30/2020",#REF!,"Naltrexone - Injectable ")</f>
        <v>#REF!</v>
      </c>
      <c r="AZ94" s="368"/>
      <c r="BA94" s="368"/>
      <c r="BB94" s="368"/>
      <c r="BC94" s="368"/>
      <c r="BD94" s="368"/>
      <c r="BE94" s="368" t="e">
        <f>COUNTIFS(#REF!,"&gt;=09/01/2020",#REF!, "&lt;=09/30/2020",#REF!,"Naltrexone - Oral")</f>
        <v>#REF!</v>
      </c>
      <c r="BF94" s="368"/>
      <c r="BG94" s="368"/>
      <c r="BH94" s="368"/>
      <c r="BI94" s="368"/>
      <c r="BJ94" s="368"/>
      <c r="BK94" s="368" t="e">
        <f>COUNTIFS(#REF!,"&gt;=09/01/2020",#REF!, "&lt;=09/30/2020",#REF!,"Changed MAT Type (Explain in Notes) ")</f>
        <v>#REF!</v>
      </c>
      <c r="BL94" s="368"/>
      <c r="BM94" s="368"/>
      <c r="BN94" s="368"/>
      <c r="BO94" s="368"/>
      <c r="BP94" s="368"/>
      <c r="BQ94" s="365" t="e">
        <f t="shared" si="6"/>
        <v>#REF!</v>
      </c>
      <c r="BR94" s="365"/>
      <c r="BS94" s="365"/>
      <c r="BT94" s="365"/>
      <c r="BU94" s="365"/>
      <c r="BV94" s="365"/>
      <c r="BW94" s="363" t="e">
        <f>COUNTIFS(#REF!,"&gt;=09/01/2020",#REF!, "&lt;=09/30/2020",#REF!,"Did not use MAT ")</f>
        <v>#REF!</v>
      </c>
      <c r="BX94" s="363"/>
      <c r="BY94" s="363"/>
      <c r="BZ94" s="363"/>
      <c r="CA94" s="363"/>
      <c r="CB94" s="363"/>
    </row>
    <row r="95" spans="1:80" x14ac:dyDescent="0.25">
      <c r="A95" s="466" t="s">
        <v>360</v>
      </c>
      <c r="B95" s="466"/>
      <c r="C95" s="466"/>
      <c r="D95" s="466"/>
      <c r="E95" s="466"/>
      <c r="F95" s="466"/>
      <c r="G95" s="466"/>
      <c r="H95" s="466"/>
      <c r="I95" s="466"/>
      <c r="J95" s="383" t="e">
        <f>COUNTIFS(#REF!,"&gt;=10/01/2020",#REF!, "&lt;=10/31/2020")</f>
        <v>#REF!</v>
      </c>
      <c r="K95" s="383"/>
      <c r="L95" s="383"/>
      <c r="M95" s="383"/>
      <c r="N95" s="383"/>
      <c r="O95" s="383"/>
      <c r="P95" s="383"/>
      <c r="Q95" s="383"/>
      <c r="R95" s="383"/>
      <c r="S95" s="383"/>
      <c r="T95" s="379" t="e">
        <f>COUNTIFS(#REF!,"&gt;=09/01/2020",#REF!, "&lt;=09/30/2020",#REF!,"YES")</f>
        <v>#REF!</v>
      </c>
      <c r="U95" s="379"/>
      <c r="V95" s="379"/>
      <c r="W95" s="379"/>
      <c r="X95" s="379"/>
      <c r="Y95" s="379"/>
      <c r="Z95" s="35"/>
      <c r="AA95" s="383" t="e">
        <f>COUNTIFS(#REF!,"&gt;=09/01/2020",#REF!, "&lt;=09/30/2020",#REF!,"Methadone")</f>
        <v>#REF!</v>
      </c>
      <c r="AB95" s="383"/>
      <c r="AC95" s="383"/>
      <c r="AD95" s="383"/>
      <c r="AE95" s="383"/>
      <c r="AF95" s="383"/>
      <c r="AG95" s="383" t="e">
        <f>COUNTIFS(#REF!,"&gt;=09/01/2020",#REF!, "&lt;=09/30/2020",#REF!,"Buprenorphine Oral")</f>
        <v>#REF!</v>
      </c>
      <c r="AH95" s="383"/>
      <c r="AI95" s="383"/>
      <c r="AJ95" s="383"/>
      <c r="AK95" s="383"/>
      <c r="AL95" s="383"/>
      <c r="AM95" s="379" t="e">
        <f>COUNTIFS(#REF!,"&gt;=09/01/2020",#REF!, "&lt;=09/30/2020",#REF!,"Buprenorphine - Injectable")</f>
        <v>#REF!</v>
      </c>
      <c r="AN95" s="379"/>
      <c r="AO95" s="379"/>
      <c r="AP95" s="379"/>
      <c r="AQ95" s="379"/>
      <c r="AR95" s="379"/>
      <c r="AS95" s="379" t="e">
        <f>COUNTIFS(#REF!,"&gt;=09/01/2020",#REF!, "&lt;=09/30/2020",#REF!,"Buprenorphine Implant")</f>
        <v>#REF!</v>
      </c>
      <c r="AT95" s="379"/>
      <c r="AU95" s="379"/>
      <c r="AV95" s="379"/>
      <c r="AW95" s="379"/>
      <c r="AX95" s="379"/>
      <c r="AY95" s="379" t="e">
        <f>COUNTIFS(#REF!,"&gt;=09/01/2020",#REF!, "&lt;=09/30/2020",#REF!,"Naltrexone - Injectable ")</f>
        <v>#REF!</v>
      </c>
      <c r="AZ95" s="379"/>
      <c r="BA95" s="379"/>
      <c r="BB95" s="379"/>
      <c r="BC95" s="379"/>
      <c r="BD95" s="379"/>
      <c r="BE95" s="379" t="e">
        <f>COUNTIFS(#REF!,"&gt;=09/01/2020",#REF!, "&lt;=09/30/2020",#REF!,"Naltrexone - Oral")</f>
        <v>#REF!</v>
      </c>
      <c r="BF95" s="379"/>
      <c r="BG95" s="379"/>
      <c r="BH95" s="379"/>
      <c r="BI95" s="379"/>
      <c r="BJ95" s="379"/>
      <c r="BK95" s="379" t="e">
        <f>COUNTIFS(#REF!,"&gt;=09/01/2020",#REF!, "&lt;=09/30/2020",#REF!,"Changed MAT Type (Explain in Notes) ")</f>
        <v>#REF!</v>
      </c>
      <c r="BL95" s="379"/>
      <c r="BM95" s="379"/>
      <c r="BN95" s="379"/>
      <c r="BO95" s="379"/>
      <c r="BP95" s="379"/>
      <c r="BQ95" s="365" t="e">
        <f t="shared" si="6"/>
        <v>#REF!</v>
      </c>
      <c r="BR95" s="365"/>
      <c r="BS95" s="365"/>
      <c r="BT95" s="365"/>
      <c r="BU95" s="365"/>
      <c r="BV95" s="365"/>
      <c r="BW95" s="363" t="e">
        <f>COUNTIFS(#REF!,"&gt;=09/01/2020",#REF!, "&lt;=09/30/2020",#REF!,"Did not use MAT ")</f>
        <v>#REF!</v>
      </c>
      <c r="BX95" s="363"/>
      <c r="BY95" s="363"/>
      <c r="BZ95" s="363"/>
      <c r="CA95" s="363"/>
      <c r="CB95" s="363"/>
    </row>
    <row r="96" spans="1:80" x14ac:dyDescent="0.25">
      <c r="A96" s="466" t="s">
        <v>361</v>
      </c>
      <c r="B96" s="466"/>
      <c r="C96" s="466"/>
      <c r="D96" s="466"/>
      <c r="E96" s="466"/>
      <c r="F96" s="466"/>
      <c r="G96" s="466"/>
      <c r="H96" s="466"/>
      <c r="I96" s="466"/>
      <c r="J96" s="383" t="e">
        <f>COUNTIFS(#REF!,"&gt;=11/01/2020",#REF!, "&lt;=11/30/2020")</f>
        <v>#REF!</v>
      </c>
      <c r="K96" s="383"/>
      <c r="L96" s="383"/>
      <c r="M96" s="383"/>
      <c r="N96" s="383"/>
      <c r="O96" s="383"/>
      <c r="P96" s="383"/>
      <c r="Q96" s="383"/>
      <c r="R96" s="383"/>
      <c r="S96" s="383"/>
      <c r="T96" s="379" t="e">
        <f>COUNTIFS(#REF!,"&gt;=11/01/2020",#REF!, "&lt;=11/30/2020",#REF!,"YES")</f>
        <v>#REF!</v>
      </c>
      <c r="U96" s="379"/>
      <c r="V96" s="379"/>
      <c r="W96" s="379"/>
      <c r="X96" s="379"/>
      <c r="Y96" s="379"/>
      <c r="Z96" s="35"/>
      <c r="AA96" s="383" t="e">
        <f>COUNTIFS(#REF!,"&gt;=11/01/2020",#REF!, "&lt;=11/30/2020",#REF!,"Methadone")</f>
        <v>#REF!</v>
      </c>
      <c r="AB96" s="383"/>
      <c r="AC96" s="383"/>
      <c r="AD96" s="383"/>
      <c r="AE96" s="383"/>
      <c r="AF96" s="383"/>
      <c r="AG96" s="383" t="e">
        <f>COUNTIFS(#REF!,"&gt;=11/01/2020",#REF!, "&lt;=11/30/2020",#REF!,"Buprenorphine Oral")</f>
        <v>#REF!</v>
      </c>
      <c r="AH96" s="383"/>
      <c r="AI96" s="383"/>
      <c r="AJ96" s="383"/>
      <c r="AK96" s="383"/>
      <c r="AL96" s="383"/>
      <c r="AM96" s="379" t="e">
        <f>COUNTIFS(#REF!,"&gt;=11/01/2020",#REF!, "&lt;=11/30/2020",#REF!,"Buprenorphine - Injectable")</f>
        <v>#REF!</v>
      </c>
      <c r="AN96" s="379"/>
      <c r="AO96" s="379"/>
      <c r="AP96" s="379"/>
      <c r="AQ96" s="379"/>
      <c r="AR96" s="379"/>
      <c r="AS96" s="379" t="e">
        <f>COUNTIFS(#REF!,"&gt;=11/01/2020",#REF!, "&lt;=11/30/2020",#REF!,"Buprenorphine Implant")</f>
        <v>#REF!</v>
      </c>
      <c r="AT96" s="379"/>
      <c r="AU96" s="379"/>
      <c r="AV96" s="379"/>
      <c r="AW96" s="379"/>
      <c r="AX96" s="379"/>
      <c r="AY96" s="379" t="e">
        <f>COUNTIFS(#REF!,"&gt;=11/01/2020",#REF!, "&lt;=11/30/2020",#REF!,"Naltrexone - Injectable ")</f>
        <v>#REF!</v>
      </c>
      <c r="AZ96" s="379"/>
      <c r="BA96" s="379"/>
      <c r="BB96" s="379"/>
      <c r="BC96" s="379"/>
      <c r="BD96" s="379"/>
      <c r="BE96" s="379" t="e">
        <f>COUNTIFS(#REF!,"&gt;=11/01/2020",#REF!, "&lt;=11/30/2020",#REF!,"Naltrexone - Oral")</f>
        <v>#REF!</v>
      </c>
      <c r="BF96" s="379"/>
      <c r="BG96" s="379"/>
      <c r="BH96" s="379"/>
      <c r="BI96" s="379"/>
      <c r="BJ96" s="379"/>
      <c r="BK96" s="379" t="e">
        <f>COUNTIFS(#REF!,"&gt;=11/01/2020",#REF!, "&lt;=11/30/2020",#REF!,"Changed MAT Type (Explain in Notes) ")</f>
        <v>#REF!</v>
      </c>
      <c r="BL96" s="379"/>
      <c r="BM96" s="379"/>
      <c r="BN96" s="379"/>
      <c r="BO96" s="379"/>
      <c r="BP96" s="379"/>
      <c r="BQ96" s="365" t="e">
        <f t="shared" si="6"/>
        <v>#REF!</v>
      </c>
      <c r="BR96" s="365"/>
      <c r="BS96" s="365"/>
      <c r="BT96" s="365"/>
      <c r="BU96" s="365"/>
      <c r="BV96" s="365"/>
      <c r="BW96" s="363" t="e">
        <f>COUNTIFS(#REF!,"&gt;=11/01/2020",#REF!, "&lt;=11/30/2020",#REF!,"Did not use MAT ")</f>
        <v>#REF!</v>
      </c>
      <c r="BX96" s="363"/>
      <c r="BY96" s="363"/>
      <c r="BZ96" s="363"/>
      <c r="CA96" s="363"/>
      <c r="CB96" s="363"/>
    </row>
    <row r="97" spans="1:87" x14ac:dyDescent="0.25">
      <c r="A97" s="466" t="s">
        <v>362</v>
      </c>
      <c r="B97" s="466"/>
      <c r="C97" s="466"/>
      <c r="D97" s="466"/>
      <c r="E97" s="466"/>
      <c r="F97" s="466"/>
      <c r="G97" s="466"/>
      <c r="H97" s="466"/>
      <c r="I97" s="466"/>
      <c r="J97" s="383" t="e">
        <f>COUNTIFS(#REF!,"&gt;=12/01/2020",#REF!, "&lt;=12/31/2020")</f>
        <v>#REF!</v>
      </c>
      <c r="K97" s="383"/>
      <c r="L97" s="383"/>
      <c r="M97" s="383"/>
      <c r="N97" s="383"/>
      <c r="O97" s="383"/>
      <c r="P97" s="383"/>
      <c r="Q97" s="383"/>
      <c r="R97" s="383"/>
      <c r="S97" s="383"/>
      <c r="T97" s="379" t="e">
        <f>COUNTIFS(#REF!,"&gt;=12/01/2020",#REF!, "&lt;=12/31/2020",#REF!,"YES")</f>
        <v>#REF!</v>
      </c>
      <c r="U97" s="379"/>
      <c r="V97" s="379"/>
      <c r="W97" s="379"/>
      <c r="X97" s="379"/>
      <c r="Y97" s="379"/>
      <c r="Z97" s="35"/>
      <c r="AA97" s="383" t="e">
        <f>COUNTIFS(#REF!,"&gt;=12/01/2020",#REF!, "&lt;=12/31/2020",#REF!,"Methadone")</f>
        <v>#REF!</v>
      </c>
      <c r="AB97" s="383"/>
      <c r="AC97" s="383"/>
      <c r="AD97" s="383"/>
      <c r="AE97" s="383"/>
      <c r="AF97" s="383"/>
      <c r="AG97" s="383" t="e">
        <f>COUNTIFS(#REF!,"&gt;=12/01/2020",#REF!, "&lt;=12/31/2020",#REF!,"Buprenorphine Oral")</f>
        <v>#REF!</v>
      </c>
      <c r="AH97" s="383"/>
      <c r="AI97" s="383"/>
      <c r="AJ97" s="383"/>
      <c r="AK97" s="383"/>
      <c r="AL97" s="383"/>
      <c r="AM97" s="379" t="e">
        <f>COUNTIFS(#REF!,"&gt;=12/01/2020",#REF!, "&lt;=12/31/2020",#REF!,"Buprenorphine - Injectable")</f>
        <v>#REF!</v>
      </c>
      <c r="AN97" s="379"/>
      <c r="AO97" s="379"/>
      <c r="AP97" s="379"/>
      <c r="AQ97" s="379"/>
      <c r="AR97" s="379"/>
      <c r="AS97" s="379" t="e">
        <f>COUNTIFS(#REF!,"&gt;=12/01/2020",#REF!, "&lt;=12/31/2020",#REF!,"Buprenorphine Implant")</f>
        <v>#REF!</v>
      </c>
      <c r="AT97" s="379"/>
      <c r="AU97" s="379"/>
      <c r="AV97" s="379"/>
      <c r="AW97" s="379"/>
      <c r="AX97" s="379"/>
      <c r="AY97" s="379" t="e">
        <f>COUNTIFS(#REF!,"&gt;=12/01/2020",#REF!, "&lt;=12/31/2020",#REF!,"Naltrexone - Injectable ")</f>
        <v>#REF!</v>
      </c>
      <c r="AZ97" s="379"/>
      <c r="BA97" s="379"/>
      <c r="BB97" s="379"/>
      <c r="BC97" s="379"/>
      <c r="BD97" s="379"/>
      <c r="BE97" s="379" t="e">
        <f>COUNTIFS(#REF!,"&gt;=12/01/2020",#REF!, "&lt;=12/31/2020",#REF!,"Naltrexone - Oral")</f>
        <v>#REF!</v>
      </c>
      <c r="BF97" s="379"/>
      <c r="BG97" s="379"/>
      <c r="BH97" s="379"/>
      <c r="BI97" s="379"/>
      <c r="BJ97" s="379"/>
      <c r="BK97" s="379" t="e">
        <f>COUNTIFS(#REF!,"&gt;=12/01/2020",#REF!, "&lt;=12/31/2020",#REF!,"Changed MAT Type (Explain in Notes) ")</f>
        <v>#REF!</v>
      </c>
      <c r="BL97" s="379"/>
      <c r="BM97" s="379"/>
      <c r="BN97" s="379"/>
      <c r="BO97" s="379"/>
      <c r="BP97" s="379"/>
      <c r="BQ97" s="365" t="e">
        <f t="shared" si="6"/>
        <v>#REF!</v>
      </c>
      <c r="BR97" s="365"/>
      <c r="BS97" s="365"/>
      <c r="BT97" s="365"/>
      <c r="BU97" s="365"/>
      <c r="BV97" s="365"/>
      <c r="BW97" s="363" t="e">
        <f>COUNTIFS(#REF!,"&gt;=12/01/2020",#REF!, "&lt;=12/31/2020",#REF!,"Did not use MAT ")</f>
        <v>#REF!</v>
      </c>
      <c r="BX97" s="363"/>
      <c r="BY97" s="363"/>
      <c r="BZ97" s="363"/>
      <c r="CA97" s="363"/>
      <c r="CB97" s="363"/>
    </row>
    <row r="98" spans="1:87" x14ac:dyDescent="0.25">
      <c r="A98" s="389" t="s">
        <v>389</v>
      </c>
      <c r="B98" s="389"/>
      <c r="C98" s="389"/>
      <c r="D98" s="389"/>
      <c r="E98" s="389"/>
      <c r="F98" s="389"/>
      <c r="G98" s="389"/>
      <c r="H98" s="389"/>
      <c r="I98" s="389"/>
      <c r="J98" s="383" t="e">
        <f>COUNTIFS(#REF!,"&gt;=01/01/2021",#REF!, "&lt;=01/31/2021")</f>
        <v>#REF!</v>
      </c>
      <c r="K98" s="383"/>
      <c r="L98" s="383"/>
      <c r="M98" s="383"/>
      <c r="N98" s="383"/>
      <c r="O98" s="383"/>
      <c r="P98" s="383"/>
      <c r="Q98" s="383"/>
      <c r="R98" s="383"/>
      <c r="S98" s="383"/>
      <c r="T98" s="379" t="e">
        <f>COUNTIFS(#REF!,"&gt;=01/01/2021",#REF!, "&lt;=01/31/2021",#REF!,"YES")</f>
        <v>#REF!</v>
      </c>
      <c r="U98" s="379"/>
      <c r="V98" s="379"/>
      <c r="W98" s="379"/>
      <c r="X98" s="379"/>
      <c r="Y98" s="379"/>
      <c r="Z98" s="35"/>
      <c r="AA98" s="383" t="e">
        <f>COUNTIFS(#REF!,"&gt;=01/01/2021",#REF!, "&lt;=01/31/2021",#REF!,"Methadone")</f>
        <v>#REF!</v>
      </c>
      <c r="AB98" s="383"/>
      <c r="AC98" s="383"/>
      <c r="AD98" s="383"/>
      <c r="AE98" s="383"/>
      <c r="AF98" s="383"/>
      <c r="AG98" s="383" t="e">
        <f>COUNTIFS(#REF!,"&gt;=01/01/2021",#REF!, "&lt;=01/31/2021",#REF!,"Buprenorphine Oral")</f>
        <v>#REF!</v>
      </c>
      <c r="AH98" s="383"/>
      <c r="AI98" s="383"/>
      <c r="AJ98" s="383"/>
      <c r="AK98" s="383"/>
      <c r="AL98" s="383"/>
      <c r="AM98" s="379" t="e">
        <f>COUNTIFS(#REF!,"&gt;=01/01/2021",#REF!, "&lt;=01/31/2021",#REF!,"Buprenorphine - Injectable")</f>
        <v>#REF!</v>
      </c>
      <c r="AN98" s="379"/>
      <c r="AO98" s="379"/>
      <c r="AP98" s="379"/>
      <c r="AQ98" s="379"/>
      <c r="AR98" s="379"/>
      <c r="AS98" s="379" t="e">
        <f>COUNTIFS(#REF!,"&gt;=01/01/2021",#REF!, "&lt;=01/31/2021",#REF!,"Buprenorphine Implant")</f>
        <v>#REF!</v>
      </c>
      <c r="AT98" s="379"/>
      <c r="AU98" s="379"/>
      <c r="AV98" s="379"/>
      <c r="AW98" s="379"/>
      <c r="AX98" s="379"/>
      <c r="AY98" s="379" t="e">
        <f>COUNTIFS(#REF!,"&gt;=01/01/2021",#REF!, "&lt;=01/31/2021",#REF!,"Naltrexone - Injectable ")</f>
        <v>#REF!</v>
      </c>
      <c r="AZ98" s="379"/>
      <c r="BA98" s="379"/>
      <c r="BB98" s="379"/>
      <c r="BC98" s="379"/>
      <c r="BD98" s="379"/>
      <c r="BE98" s="379" t="e">
        <f>COUNTIFS(#REF!,"&gt;=01/01/2021",#REF!, "&lt;=01/31/2021",#REF!,"Naltrexone - Oral")</f>
        <v>#REF!</v>
      </c>
      <c r="BF98" s="379"/>
      <c r="BG98" s="379"/>
      <c r="BH98" s="379"/>
      <c r="BI98" s="379"/>
      <c r="BJ98" s="379"/>
      <c r="BK98" s="379" t="e">
        <f>COUNTIFS(#REF!,"&gt;=01/01/2021",#REF!, "&lt;=01/31/2021",#REF!,"Changed MAT Type (Explain in Notes) ")</f>
        <v>#REF!</v>
      </c>
      <c r="BL98" s="379"/>
      <c r="BM98" s="379"/>
      <c r="BN98" s="379"/>
      <c r="BO98" s="379"/>
      <c r="BP98" s="379"/>
      <c r="BQ98" s="365" t="e">
        <f t="shared" si="6"/>
        <v>#REF!</v>
      </c>
      <c r="BR98" s="365"/>
      <c r="BS98" s="365"/>
      <c r="BT98" s="365"/>
      <c r="BU98" s="365"/>
      <c r="BV98" s="365"/>
      <c r="BW98" s="363" t="e">
        <f>COUNTIFS(#REF!,"&gt;=01/01/2021",#REF!, "&lt;=01/31/2021",#REF!,"Did not use MAT ")</f>
        <v>#REF!</v>
      </c>
      <c r="BX98" s="363"/>
      <c r="BY98" s="363"/>
      <c r="BZ98" s="363"/>
      <c r="CA98" s="363"/>
      <c r="CB98" s="363"/>
    </row>
    <row r="99" spans="1:87" x14ac:dyDescent="0.25">
      <c r="A99" s="389" t="s">
        <v>364</v>
      </c>
      <c r="B99" s="389"/>
      <c r="C99" s="389"/>
      <c r="D99" s="389"/>
      <c r="E99" s="389"/>
      <c r="F99" s="389"/>
      <c r="G99" s="389"/>
      <c r="H99" s="389"/>
      <c r="I99" s="389"/>
      <c r="J99" s="383" t="e">
        <f>COUNTIFS(#REF!,"&gt;=02/01/2021",#REF!, "&lt;=02/28/2021")</f>
        <v>#REF!</v>
      </c>
      <c r="K99" s="383"/>
      <c r="L99" s="383"/>
      <c r="M99" s="383"/>
      <c r="N99" s="383"/>
      <c r="O99" s="383"/>
      <c r="P99" s="383"/>
      <c r="Q99" s="383"/>
      <c r="R99" s="383"/>
      <c r="S99" s="383"/>
      <c r="T99" s="379" t="e">
        <f>COUNTIFS(#REF!,"&gt;=02/01/2021",#REF!, "&lt;=02/28/2021",#REF!,"YES")</f>
        <v>#REF!</v>
      </c>
      <c r="U99" s="379"/>
      <c r="V99" s="379"/>
      <c r="W99" s="379"/>
      <c r="X99" s="379"/>
      <c r="Y99" s="379"/>
      <c r="Z99" s="35"/>
      <c r="AA99" s="383" t="e">
        <f>COUNTIFS(#REF!,"&gt;=02/01/2021",#REF!, "&lt;=02/28/2021",#REF!,"Methadone")</f>
        <v>#REF!</v>
      </c>
      <c r="AB99" s="383"/>
      <c r="AC99" s="383"/>
      <c r="AD99" s="383"/>
      <c r="AE99" s="383"/>
      <c r="AF99" s="383"/>
      <c r="AG99" s="383" t="e">
        <f>COUNTIFS(#REF!,"&gt;=02/01/2021",#REF!, "&lt;=02/28/2021",#REF!,"Buprenorphine Oral")</f>
        <v>#REF!</v>
      </c>
      <c r="AH99" s="383"/>
      <c r="AI99" s="383"/>
      <c r="AJ99" s="383"/>
      <c r="AK99" s="383"/>
      <c r="AL99" s="383"/>
      <c r="AM99" s="379" t="e">
        <f>COUNTIFS(#REF!,"&gt;=02/01/2021",#REF!, "&lt;=02/28/2021",#REF!,"Buprenorphine - Injectable")</f>
        <v>#REF!</v>
      </c>
      <c r="AN99" s="379"/>
      <c r="AO99" s="379"/>
      <c r="AP99" s="379"/>
      <c r="AQ99" s="379"/>
      <c r="AR99" s="379"/>
      <c r="AS99" s="379" t="e">
        <f>COUNTIFS(#REF!,"&gt;=02/01/2021",#REF!, "&lt;=02/28/2021",#REF!,"Buprenorphine Implant")</f>
        <v>#REF!</v>
      </c>
      <c r="AT99" s="379"/>
      <c r="AU99" s="379"/>
      <c r="AV99" s="379"/>
      <c r="AW99" s="379"/>
      <c r="AX99" s="379"/>
      <c r="AY99" s="379" t="e">
        <f>COUNTIFS(#REF!,"&gt;=02/01/2021",#REF!, "&lt;=02/28/2021",#REF!,"Naltrexone - Injectable ")</f>
        <v>#REF!</v>
      </c>
      <c r="AZ99" s="379"/>
      <c r="BA99" s="379"/>
      <c r="BB99" s="379"/>
      <c r="BC99" s="379"/>
      <c r="BD99" s="379"/>
      <c r="BE99" s="379" t="e">
        <f>COUNTIFS(#REF!,"&gt;=02/01/2021",#REF!, "&lt;=02/28/2021",#REF!,"Naltrexone - Oral")</f>
        <v>#REF!</v>
      </c>
      <c r="BF99" s="379"/>
      <c r="BG99" s="379"/>
      <c r="BH99" s="379"/>
      <c r="BI99" s="379"/>
      <c r="BJ99" s="379"/>
      <c r="BK99" s="379" t="e">
        <f>COUNTIFS(#REF!,"&gt;=02/01/2021",#REF!, "&lt;=02/28/2021",#REF!,"Changed MAT Type (Explain in Notes) ")</f>
        <v>#REF!</v>
      </c>
      <c r="BL99" s="379"/>
      <c r="BM99" s="379"/>
      <c r="BN99" s="379"/>
      <c r="BO99" s="379"/>
      <c r="BP99" s="379"/>
      <c r="BQ99" s="365" t="e">
        <f t="shared" si="6"/>
        <v>#REF!</v>
      </c>
      <c r="BR99" s="365"/>
      <c r="BS99" s="365"/>
      <c r="BT99" s="365"/>
      <c r="BU99" s="365"/>
      <c r="BV99" s="365"/>
      <c r="BW99" s="363" t="e">
        <f>COUNTIFS(#REF!,"&gt;=02/01/2021",#REF!, "&lt;=02/28/2021",#REF!,"Did not use MAT ")</f>
        <v>#REF!</v>
      </c>
      <c r="BX99" s="363"/>
      <c r="BY99" s="363"/>
      <c r="BZ99" s="363"/>
      <c r="CA99" s="363"/>
      <c r="CB99" s="363"/>
    </row>
    <row r="100" spans="1:87" x14ac:dyDescent="0.25">
      <c r="A100" s="389" t="s">
        <v>375</v>
      </c>
      <c r="B100" s="389"/>
      <c r="C100" s="389"/>
      <c r="D100" s="389"/>
      <c r="E100" s="389"/>
      <c r="F100" s="389"/>
      <c r="G100" s="389"/>
      <c r="H100" s="389"/>
      <c r="I100" s="389"/>
      <c r="J100" s="383" t="e">
        <f>COUNTIFS(#REF!,"&gt;=03/01/2021",#REF!, "&lt;=03/31/2021")</f>
        <v>#REF!</v>
      </c>
      <c r="K100" s="383"/>
      <c r="L100" s="383"/>
      <c r="M100" s="383"/>
      <c r="N100" s="383"/>
      <c r="O100" s="383"/>
      <c r="P100" s="383"/>
      <c r="Q100" s="383"/>
      <c r="R100" s="383"/>
      <c r="S100" s="383"/>
      <c r="T100" s="379" t="e">
        <f>COUNTIFS(#REF!,"&gt;=03/01/2021",#REF!, "&lt;=03/31/2021",#REF!,"YES")</f>
        <v>#REF!</v>
      </c>
      <c r="U100" s="379"/>
      <c r="V100" s="379"/>
      <c r="W100" s="379"/>
      <c r="X100" s="379"/>
      <c r="Y100" s="379"/>
      <c r="Z100" s="35"/>
      <c r="AA100" s="383" t="e">
        <f>COUNTIFS(#REF!,"&gt;=03/01/2021",#REF!, "&lt;=03/31/2021",#REF!,"Methadone")</f>
        <v>#REF!</v>
      </c>
      <c r="AB100" s="383"/>
      <c r="AC100" s="383"/>
      <c r="AD100" s="383"/>
      <c r="AE100" s="383"/>
      <c r="AF100" s="383"/>
      <c r="AG100" s="383" t="e">
        <f>COUNTIFS(#REF!,"&gt;=03/01/2021",#REF!, "&lt;=03/31/2021",#REF!,"Buprenorphine Oral")</f>
        <v>#REF!</v>
      </c>
      <c r="AH100" s="383"/>
      <c r="AI100" s="383"/>
      <c r="AJ100" s="383"/>
      <c r="AK100" s="383"/>
      <c r="AL100" s="383"/>
      <c r="AM100" s="379" t="e">
        <f>COUNTIFS(#REF!,"&gt;=03/01/2021",#REF!, "&lt;=03/31/2021",#REF!,"Buprenorphine - Injectable")</f>
        <v>#REF!</v>
      </c>
      <c r="AN100" s="379"/>
      <c r="AO100" s="379"/>
      <c r="AP100" s="379"/>
      <c r="AQ100" s="379"/>
      <c r="AR100" s="379"/>
      <c r="AS100" s="379" t="e">
        <f>COUNTIFS(#REF!,"&gt;=03/01/2021",#REF!, "&lt;=03/31/2021",#REF!,"Buprenorphine Implant")</f>
        <v>#REF!</v>
      </c>
      <c r="AT100" s="379"/>
      <c r="AU100" s="379"/>
      <c r="AV100" s="379"/>
      <c r="AW100" s="379"/>
      <c r="AX100" s="379"/>
      <c r="AY100" s="379" t="e">
        <f>COUNTIFS(#REF!,"&gt;=03/01/2021",#REF!, "&lt;=03/31/2021",#REF!,"Naltrexone - Injectable ")</f>
        <v>#REF!</v>
      </c>
      <c r="AZ100" s="379"/>
      <c r="BA100" s="379"/>
      <c r="BB100" s="379"/>
      <c r="BC100" s="379"/>
      <c r="BD100" s="379"/>
      <c r="BE100" s="379" t="e">
        <f>COUNTIFS(#REF!,"&gt;=03/01/2021",#REF!, "&lt;=03/31/2021",#REF!,"Naltrexone - Oral")</f>
        <v>#REF!</v>
      </c>
      <c r="BF100" s="379"/>
      <c r="BG100" s="379"/>
      <c r="BH100" s="379"/>
      <c r="BI100" s="379"/>
      <c r="BJ100" s="379"/>
      <c r="BK100" s="379" t="e">
        <f>COUNTIFS(#REF!,"&gt;=03/01/2021",#REF!, "&lt;=03/31/2021",#REF!,"Changed MAT Type (Explain in Notes) ")</f>
        <v>#REF!</v>
      </c>
      <c r="BL100" s="379"/>
      <c r="BM100" s="379"/>
      <c r="BN100" s="379"/>
      <c r="BO100" s="379"/>
      <c r="BP100" s="379"/>
      <c r="BQ100" s="365" t="e">
        <f t="shared" si="6"/>
        <v>#REF!</v>
      </c>
      <c r="BR100" s="365"/>
      <c r="BS100" s="365"/>
      <c r="BT100" s="365"/>
      <c r="BU100" s="365"/>
      <c r="BV100" s="365"/>
      <c r="BW100" s="363" t="e">
        <f>COUNTIFS(#REF!,"&gt;=03/01/2021",#REF!, "&lt;=03/31/2021",#REF!,"Did not use MAT ")</f>
        <v>#REF!</v>
      </c>
      <c r="BX100" s="363"/>
      <c r="BY100" s="363"/>
      <c r="BZ100" s="363"/>
      <c r="CA100" s="363"/>
      <c r="CB100" s="363"/>
    </row>
    <row r="101" spans="1:87" x14ac:dyDescent="0.25">
      <c r="A101" s="389" t="s">
        <v>376</v>
      </c>
      <c r="B101" s="389"/>
      <c r="C101" s="389"/>
      <c r="D101" s="389"/>
      <c r="E101" s="389"/>
      <c r="F101" s="389"/>
      <c r="G101" s="389"/>
      <c r="H101" s="389"/>
      <c r="I101" s="389"/>
      <c r="J101" s="383" t="e">
        <f>COUNTIFS(#REF!,"&gt;=04/01/2021",#REF!, "&lt;=04/30/2021")</f>
        <v>#REF!</v>
      </c>
      <c r="K101" s="383"/>
      <c r="L101" s="383"/>
      <c r="M101" s="383"/>
      <c r="N101" s="383"/>
      <c r="O101" s="383"/>
      <c r="P101" s="383"/>
      <c r="Q101" s="383"/>
      <c r="R101" s="383"/>
      <c r="S101" s="383"/>
      <c r="T101" s="379" t="e">
        <f>COUNTIFS(#REF!,"&gt;=04/01/2021",#REF!, "&lt;=04/30/2021",#REF!,"YES")</f>
        <v>#REF!</v>
      </c>
      <c r="U101" s="379"/>
      <c r="V101" s="379"/>
      <c r="W101" s="379"/>
      <c r="X101" s="379"/>
      <c r="Y101" s="379"/>
      <c r="Z101" s="35"/>
      <c r="AA101" s="383" t="e">
        <f>COUNTIFS(#REF!,"&gt;=04/01/2021",#REF!, "&lt;=04/30/2021",#REF!,"Methadone")</f>
        <v>#REF!</v>
      </c>
      <c r="AB101" s="383"/>
      <c r="AC101" s="383"/>
      <c r="AD101" s="383"/>
      <c r="AE101" s="383"/>
      <c r="AF101" s="383"/>
      <c r="AG101" s="383" t="e">
        <f>COUNTIFS(#REF!,"&gt;=04/01/2021",#REF!, "&lt;=04/30/2021",#REF!,"Buprenorphine Oral")</f>
        <v>#REF!</v>
      </c>
      <c r="AH101" s="383"/>
      <c r="AI101" s="383"/>
      <c r="AJ101" s="383"/>
      <c r="AK101" s="383"/>
      <c r="AL101" s="383"/>
      <c r="AM101" s="379" t="e">
        <f>COUNTIFS(#REF!,"&gt;=04/01/2021",#REF!, "&lt;=04/30/2021",#REF!,"Buprenorphine - Injectable")</f>
        <v>#REF!</v>
      </c>
      <c r="AN101" s="379"/>
      <c r="AO101" s="379"/>
      <c r="AP101" s="379"/>
      <c r="AQ101" s="379"/>
      <c r="AR101" s="379"/>
      <c r="AS101" s="379" t="e">
        <f>COUNTIFS(#REF!,"&gt;=04/01/2021",#REF!, "&lt;=04/30/2021",#REF!,"Buprenorphine Implant")</f>
        <v>#REF!</v>
      </c>
      <c r="AT101" s="379"/>
      <c r="AU101" s="379"/>
      <c r="AV101" s="379"/>
      <c r="AW101" s="379"/>
      <c r="AX101" s="379"/>
      <c r="AY101" s="379" t="e">
        <f>COUNTIFS(#REF!,"&gt;=04/01/2021",#REF!, "&lt;=04/30/2021",#REF!,"Naltrexone - Injectable ")</f>
        <v>#REF!</v>
      </c>
      <c r="AZ101" s="379"/>
      <c r="BA101" s="379"/>
      <c r="BB101" s="379"/>
      <c r="BC101" s="379"/>
      <c r="BD101" s="379"/>
      <c r="BE101" s="379" t="e">
        <f>COUNTIFS(#REF!,"&gt;=04/01/2021",#REF!, "&lt;=04/30/2021",#REF!,"Naltrexone - Oral")</f>
        <v>#REF!</v>
      </c>
      <c r="BF101" s="379"/>
      <c r="BG101" s="379"/>
      <c r="BH101" s="379"/>
      <c r="BI101" s="379"/>
      <c r="BJ101" s="379"/>
      <c r="BK101" s="379" t="e">
        <f>COUNTIFS(#REF!,"&gt;=04/01/2021",#REF!, "&lt;=04/30/2021",#REF!,"Changed MAT Type (Explain in Notes) ")</f>
        <v>#REF!</v>
      </c>
      <c r="BL101" s="379"/>
      <c r="BM101" s="379"/>
      <c r="BN101" s="379"/>
      <c r="BO101" s="379"/>
      <c r="BP101" s="379"/>
      <c r="BQ101" s="365" t="e">
        <f t="shared" si="6"/>
        <v>#REF!</v>
      </c>
      <c r="BR101" s="365"/>
      <c r="BS101" s="365"/>
      <c r="BT101" s="365"/>
      <c r="BU101" s="365"/>
      <c r="BV101" s="365"/>
      <c r="BW101" s="363" t="e">
        <f>COUNTIFS(#REF!,"&gt;=04/01/2021",#REF!, "&lt;=04/30/2021",#REF!,"Did not use MAT ")</f>
        <v>#REF!</v>
      </c>
      <c r="BX101" s="363"/>
      <c r="BY101" s="363"/>
      <c r="BZ101" s="363"/>
      <c r="CA101" s="363"/>
      <c r="CB101" s="363"/>
    </row>
    <row r="102" spans="1:87" x14ac:dyDescent="0.25">
      <c r="A102" s="389" t="s">
        <v>365</v>
      </c>
      <c r="B102" s="389"/>
      <c r="C102" s="389"/>
      <c r="D102" s="389"/>
      <c r="E102" s="389"/>
      <c r="F102" s="389"/>
      <c r="G102" s="389"/>
      <c r="H102" s="389"/>
      <c r="I102" s="389"/>
      <c r="J102" s="383" t="e">
        <f>COUNTIFS(#REF!,"&gt;=05/01/2021",#REF!, "&lt;=05/31/2021")</f>
        <v>#REF!</v>
      </c>
      <c r="K102" s="383"/>
      <c r="L102" s="383"/>
      <c r="M102" s="383"/>
      <c r="N102" s="383"/>
      <c r="O102" s="383"/>
      <c r="P102" s="383"/>
      <c r="Q102" s="383"/>
      <c r="R102" s="383"/>
      <c r="S102" s="383"/>
      <c r="T102" s="379" t="e">
        <f>COUNTIFS(#REF!,"&gt;=05/01/2021",#REF!, "&lt;=05/31/2021",#REF!,"YES")</f>
        <v>#REF!</v>
      </c>
      <c r="U102" s="379"/>
      <c r="V102" s="379"/>
      <c r="W102" s="379"/>
      <c r="X102" s="379"/>
      <c r="Y102" s="379"/>
      <c r="Z102" s="35"/>
      <c r="AA102" s="383" t="e">
        <f>COUNTIFS(#REF!,"&gt;=05/01/2021",#REF!, "&lt;=05/31/2021",#REF!,"Methadone")</f>
        <v>#REF!</v>
      </c>
      <c r="AB102" s="383"/>
      <c r="AC102" s="383"/>
      <c r="AD102" s="383"/>
      <c r="AE102" s="383"/>
      <c r="AF102" s="383"/>
      <c r="AG102" s="383" t="e">
        <f>COUNTIFS(#REF!,"&gt;=05/01/2021",#REF!, "&lt;=05/31/2021",#REF!,"Buprenorphine Oral")</f>
        <v>#REF!</v>
      </c>
      <c r="AH102" s="383"/>
      <c r="AI102" s="383"/>
      <c r="AJ102" s="383"/>
      <c r="AK102" s="383"/>
      <c r="AL102" s="383"/>
      <c r="AM102" s="379" t="e">
        <f>COUNTIFS(#REF!,"&gt;=05/01/2021",#REF!, "&lt;=05/31/2021",#REF!,"Buprenorphine - Injectable")</f>
        <v>#REF!</v>
      </c>
      <c r="AN102" s="379"/>
      <c r="AO102" s="379"/>
      <c r="AP102" s="379"/>
      <c r="AQ102" s="379"/>
      <c r="AR102" s="379"/>
      <c r="AS102" s="379" t="e">
        <f>COUNTIFS(#REF!,"&gt;=05/01/2021",#REF!, "&lt;=05/31/2021",#REF!,"Buprenorphine Implant")</f>
        <v>#REF!</v>
      </c>
      <c r="AT102" s="379"/>
      <c r="AU102" s="379"/>
      <c r="AV102" s="379"/>
      <c r="AW102" s="379"/>
      <c r="AX102" s="379"/>
      <c r="AY102" s="379" t="e">
        <f>COUNTIFS(#REF!,"&gt;=05/01/2021",#REF!, "&lt;=05/31/2021",#REF!,"Naltrexone - Injectable ")</f>
        <v>#REF!</v>
      </c>
      <c r="AZ102" s="379"/>
      <c r="BA102" s="379"/>
      <c r="BB102" s="379"/>
      <c r="BC102" s="379"/>
      <c r="BD102" s="379"/>
      <c r="BE102" s="379" t="e">
        <f>COUNTIFS(#REF!,"&gt;=05/01/2021",#REF!, "&lt;=05/31/2021",#REF!,"Naltrexone - Oral")</f>
        <v>#REF!</v>
      </c>
      <c r="BF102" s="379"/>
      <c r="BG102" s="379"/>
      <c r="BH102" s="379"/>
      <c r="BI102" s="379"/>
      <c r="BJ102" s="379"/>
      <c r="BK102" s="379" t="e">
        <f>COUNTIFS(#REF!,"&gt;=05/01/2021",#REF!, "&lt;=05/31/2021",#REF!,"Changed MAT Type (Explain in Notes) ")</f>
        <v>#REF!</v>
      </c>
      <c r="BL102" s="379"/>
      <c r="BM102" s="379"/>
      <c r="BN102" s="379"/>
      <c r="BO102" s="379"/>
      <c r="BP102" s="379"/>
      <c r="BQ102" s="365" t="e">
        <f t="shared" si="6"/>
        <v>#REF!</v>
      </c>
      <c r="BR102" s="365"/>
      <c r="BS102" s="365"/>
      <c r="BT102" s="365"/>
      <c r="BU102" s="365"/>
      <c r="BV102" s="365"/>
      <c r="BW102" s="363" t="e">
        <f>COUNTIFS(#REF!,"&gt;=05/01/2021",#REF!, "&lt;=05/31/2021",#REF!,"Did not use MAT ")</f>
        <v>#REF!</v>
      </c>
      <c r="BX102" s="363"/>
      <c r="BY102" s="363"/>
      <c r="BZ102" s="363"/>
      <c r="CA102" s="363"/>
      <c r="CB102" s="363"/>
    </row>
    <row r="103" spans="1:87" x14ac:dyDescent="0.25">
      <c r="A103" s="389" t="s">
        <v>366</v>
      </c>
      <c r="B103" s="389"/>
      <c r="C103" s="389"/>
      <c r="D103" s="389"/>
      <c r="E103" s="389"/>
      <c r="F103" s="389"/>
      <c r="G103" s="389"/>
      <c r="H103" s="389"/>
      <c r="I103" s="389"/>
      <c r="J103" s="383" t="e">
        <f>COUNTIFS(#REF!,"&gt;=06/01/2021",#REF!, "&lt;=06/30/2021")</f>
        <v>#REF!</v>
      </c>
      <c r="K103" s="383"/>
      <c r="L103" s="383"/>
      <c r="M103" s="383"/>
      <c r="N103" s="383"/>
      <c r="O103" s="383"/>
      <c r="P103" s="383"/>
      <c r="Q103" s="383"/>
      <c r="R103" s="383"/>
      <c r="S103" s="383"/>
      <c r="T103" s="379" t="e">
        <f>COUNTIFS(#REF!,"&gt;=06/01/2021",#REF!, "&lt;=06/30/2021",#REF!,"YES")</f>
        <v>#REF!</v>
      </c>
      <c r="U103" s="379"/>
      <c r="V103" s="379"/>
      <c r="W103" s="379"/>
      <c r="X103" s="379"/>
      <c r="Y103" s="379"/>
      <c r="Z103" s="35"/>
      <c r="AA103" s="383" t="e">
        <f>COUNTIFS(#REF!,"&gt;=06/01/2021",#REF!, "&lt;=06/30/2021",#REF!,"Methadone")</f>
        <v>#REF!</v>
      </c>
      <c r="AB103" s="383"/>
      <c r="AC103" s="383"/>
      <c r="AD103" s="383"/>
      <c r="AE103" s="383"/>
      <c r="AF103" s="383"/>
      <c r="AG103" s="383" t="e">
        <f>COUNTIFS(#REF!,"&gt;=06/01/2021",#REF!, "&lt;=06/30/2021",#REF!,"Buprenorphine Oral")</f>
        <v>#REF!</v>
      </c>
      <c r="AH103" s="383"/>
      <c r="AI103" s="383"/>
      <c r="AJ103" s="383"/>
      <c r="AK103" s="383"/>
      <c r="AL103" s="383"/>
      <c r="AM103" s="379" t="e">
        <f>COUNTIFS(#REF!,"&gt;=06/01/2021",#REF!, "&lt;=06/30/2021",#REF!,"Buprenorphine - Injectable")</f>
        <v>#REF!</v>
      </c>
      <c r="AN103" s="379"/>
      <c r="AO103" s="379"/>
      <c r="AP103" s="379"/>
      <c r="AQ103" s="379"/>
      <c r="AR103" s="379"/>
      <c r="AS103" s="379" t="e">
        <f>COUNTIFS(#REF!,"&gt;=06/01/2021",#REF!, "&lt;=06/30/2021",#REF!,"Buprenorphine Implant")</f>
        <v>#REF!</v>
      </c>
      <c r="AT103" s="379"/>
      <c r="AU103" s="379"/>
      <c r="AV103" s="379"/>
      <c r="AW103" s="379"/>
      <c r="AX103" s="379"/>
      <c r="AY103" s="379" t="e">
        <f>COUNTIFS(#REF!,"&gt;=06/01/2021",#REF!, "&lt;=06/30/2021",#REF!,"Naltrexone - Injectable ")</f>
        <v>#REF!</v>
      </c>
      <c r="AZ103" s="379"/>
      <c r="BA103" s="379"/>
      <c r="BB103" s="379"/>
      <c r="BC103" s="379"/>
      <c r="BD103" s="379"/>
      <c r="BE103" s="379" t="e">
        <f>COUNTIFS(#REF!,"&gt;=06/01/2021",#REF!, "&lt;=06/30/2021",#REF!,"Naltrexone - Oral")</f>
        <v>#REF!</v>
      </c>
      <c r="BF103" s="379"/>
      <c r="BG103" s="379"/>
      <c r="BH103" s="379"/>
      <c r="BI103" s="379"/>
      <c r="BJ103" s="379"/>
      <c r="BK103" s="379" t="e">
        <f>COUNTIFS(#REF!,"&gt;=06/01/2021",#REF!, "&lt;=06/30/2021",#REF!,"Changed MAT Type (Explain in Notes) ")</f>
        <v>#REF!</v>
      </c>
      <c r="BL103" s="379"/>
      <c r="BM103" s="379"/>
      <c r="BN103" s="379"/>
      <c r="BO103" s="379"/>
      <c r="BP103" s="379"/>
      <c r="BQ103" s="365" t="e">
        <f t="shared" si="6"/>
        <v>#REF!</v>
      </c>
      <c r="BR103" s="365"/>
      <c r="BS103" s="365"/>
      <c r="BT103" s="365"/>
      <c r="BU103" s="365"/>
      <c r="BV103" s="365"/>
      <c r="BW103" s="363" t="e">
        <f>COUNTIFS(#REF!,"&gt;=06/01/2021",#REF!, "&lt;=06/30/2021",#REF!,"Did not use MAT ")</f>
        <v>#REF!</v>
      </c>
      <c r="BX103" s="363"/>
      <c r="BY103" s="363"/>
      <c r="BZ103" s="363"/>
      <c r="CA103" s="363"/>
      <c r="CB103" s="363"/>
    </row>
    <row r="104" spans="1:87" x14ac:dyDescent="0.25">
      <c r="A104" s="389" t="s">
        <v>368</v>
      </c>
      <c r="B104" s="389"/>
      <c r="C104" s="389"/>
      <c r="D104" s="389"/>
      <c r="E104" s="389"/>
      <c r="F104" s="389"/>
      <c r="G104" s="389"/>
      <c r="H104" s="389"/>
      <c r="I104" s="389"/>
      <c r="J104" s="383" t="e">
        <f>COUNTIFS(#REF!,"&gt;=07/01/2021",#REF!, "&lt;=07/31/2021")</f>
        <v>#REF!</v>
      </c>
      <c r="K104" s="383"/>
      <c r="L104" s="383"/>
      <c r="M104" s="383"/>
      <c r="N104" s="383"/>
      <c r="O104" s="383"/>
      <c r="P104" s="383"/>
      <c r="Q104" s="383"/>
      <c r="R104" s="383"/>
      <c r="S104" s="383"/>
      <c r="T104" s="379" t="e">
        <f>COUNTIFS(#REF!,"&gt;=06/01/2021",#REF!, "&lt;=06/30/2021",#REF!,"YES")</f>
        <v>#REF!</v>
      </c>
      <c r="U104" s="379"/>
      <c r="V104" s="379"/>
      <c r="W104" s="379"/>
      <c r="X104" s="379"/>
      <c r="Y104" s="379"/>
      <c r="Z104" s="35"/>
      <c r="AA104" s="383" t="e">
        <f>COUNTIFS(#REF!,"&gt;=06/01/2021",#REF!, "&lt;=06/30/2021",#REF!,"Methadone")</f>
        <v>#REF!</v>
      </c>
      <c r="AB104" s="383"/>
      <c r="AC104" s="383"/>
      <c r="AD104" s="383"/>
      <c r="AE104" s="383"/>
      <c r="AF104" s="383"/>
      <c r="AG104" s="383" t="e">
        <f>COUNTIFS(#REF!,"&gt;=06/01/2021",#REF!, "&lt;=06/30/2021",#REF!,"Buprenorphine Oral")</f>
        <v>#REF!</v>
      </c>
      <c r="AH104" s="383"/>
      <c r="AI104" s="383"/>
      <c r="AJ104" s="383"/>
      <c r="AK104" s="383"/>
      <c r="AL104" s="383"/>
      <c r="AM104" s="379" t="e">
        <f>COUNTIFS(#REF!,"&gt;=06/01/2021",#REF!, "&lt;=06/30/2021",#REF!,"Buprenorphine - Injectable")</f>
        <v>#REF!</v>
      </c>
      <c r="AN104" s="379"/>
      <c r="AO104" s="379"/>
      <c r="AP104" s="379"/>
      <c r="AQ104" s="379"/>
      <c r="AR104" s="379"/>
      <c r="AS104" s="379" t="e">
        <f>COUNTIFS(#REF!,"&gt;=06/01/2021",#REF!, "&lt;=06/30/2021",#REF!,"Buprenorphine Implant")</f>
        <v>#REF!</v>
      </c>
      <c r="AT104" s="379"/>
      <c r="AU104" s="379"/>
      <c r="AV104" s="379"/>
      <c r="AW104" s="379"/>
      <c r="AX104" s="379"/>
      <c r="AY104" s="379" t="e">
        <f>COUNTIFS(#REF!,"&gt;=06/01/2021",#REF!, "&lt;=06/30/2021",#REF!,"Naltrexone - Injectable ")</f>
        <v>#REF!</v>
      </c>
      <c r="AZ104" s="379"/>
      <c r="BA104" s="379"/>
      <c r="BB104" s="379"/>
      <c r="BC104" s="379"/>
      <c r="BD104" s="379"/>
      <c r="BE104" s="379" t="e">
        <f>COUNTIFS(#REF!,"&gt;=06/01/2021",#REF!, "&lt;=06/30/2021",#REF!,"Naltrexone - Oral")</f>
        <v>#REF!</v>
      </c>
      <c r="BF104" s="379"/>
      <c r="BG104" s="379"/>
      <c r="BH104" s="379"/>
      <c r="BI104" s="379"/>
      <c r="BJ104" s="379"/>
      <c r="BK104" s="379" t="e">
        <f>COUNTIFS(#REF!,"&gt;=06/01/2021",#REF!, "&lt;=06/30/2021",#REF!,"Changed MAT Type (Explain in Notes) ")</f>
        <v>#REF!</v>
      </c>
      <c r="BL104" s="379"/>
      <c r="BM104" s="379"/>
      <c r="BN104" s="379"/>
      <c r="BO104" s="379"/>
      <c r="BP104" s="379"/>
      <c r="BQ104" s="365" t="e">
        <f t="shared" si="6"/>
        <v>#REF!</v>
      </c>
      <c r="BR104" s="365"/>
      <c r="BS104" s="365"/>
      <c r="BT104" s="365"/>
      <c r="BU104" s="365"/>
      <c r="BV104" s="365"/>
      <c r="BW104" s="363" t="e">
        <f>COUNTIFS(#REF!,"&gt;=06/01/2021",#REF!, "&lt;=06/30/2021",#REF!,"Did not use MAT ")</f>
        <v>#REF!</v>
      </c>
      <c r="BX104" s="363"/>
      <c r="BY104" s="363"/>
      <c r="BZ104" s="363"/>
      <c r="CA104" s="363"/>
      <c r="CB104" s="363"/>
    </row>
    <row r="105" spans="1:87" x14ac:dyDescent="0.25">
      <c r="A105" s="389" t="s">
        <v>367</v>
      </c>
      <c r="B105" s="389"/>
      <c r="C105" s="389"/>
      <c r="D105" s="389"/>
      <c r="E105" s="389"/>
      <c r="F105" s="389"/>
      <c r="G105" s="389"/>
      <c r="H105" s="389"/>
      <c r="I105" s="389"/>
      <c r="J105" s="383" t="e">
        <f>COUNTIFS(#REF!,"&gt;=08/01/2021",#REF!, "&lt;=08/31/2021")</f>
        <v>#REF!</v>
      </c>
      <c r="K105" s="383"/>
      <c r="L105" s="383"/>
      <c r="M105" s="383"/>
      <c r="N105" s="383"/>
      <c r="O105" s="383"/>
      <c r="P105" s="383"/>
      <c r="Q105" s="383"/>
      <c r="R105" s="383"/>
      <c r="S105" s="383"/>
      <c r="T105" s="379" t="e">
        <f>COUNTIFS(#REF!,"&gt;=08/01/2021",#REF!, "&lt;=08/31/2021",#REF!,"YES")</f>
        <v>#REF!</v>
      </c>
      <c r="U105" s="379"/>
      <c r="V105" s="379"/>
      <c r="W105" s="379"/>
      <c r="X105" s="379"/>
      <c r="Y105" s="379"/>
      <c r="Z105" s="35"/>
      <c r="AA105" s="383" t="e">
        <f>COUNTIFS(#REF!,"&gt;=08/01/2021",#REF!, "&lt;=08/31/2021",#REF!,"Methadone")</f>
        <v>#REF!</v>
      </c>
      <c r="AB105" s="383"/>
      <c r="AC105" s="383"/>
      <c r="AD105" s="383"/>
      <c r="AE105" s="383"/>
      <c r="AF105" s="383"/>
      <c r="AG105" s="383" t="e">
        <f>COUNTIFS(#REF!,"&gt;=08/01/2021",#REF!, "&lt;=08/31/2021",#REF!,"Buprenorphine Oral")</f>
        <v>#REF!</v>
      </c>
      <c r="AH105" s="383"/>
      <c r="AI105" s="383"/>
      <c r="AJ105" s="383"/>
      <c r="AK105" s="383"/>
      <c r="AL105" s="383"/>
      <c r="AM105" s="379" t="e">
        <f>COUNTIFS(#REF!,"&gt;=08/01/2021",#REF!, "&lt;=08/31/2021",#REF!,"Buprenorphine - Injectable")</f>
        <v>#REF!</v>
      </c>
      <c r="AN105" s="379"/>
      <c r="AO105" s="379"/>
      <c r="AP105" s="379"/>
      <c r="AQ105" s="379"/>
      <c r="AR105" s="379"/>
      <c r="AS105" s="379" t="e">
        <f>COUNTIFS(#REF!,"&gt;=08/01/2021",#REF!, "&lt;=08/31/2021",#REF!,"Buprenorphine Implant")</f>
        <v>#REF!</v>
      </c>
      <c r="AT105" s="379"/>
      <c r="AU105" s="379"/>
      <c r="AV105" s="379"/>
      <c r="AW105" s="379"/>
      <c r="AX105" s="379"/>
      <c r="AY105" s="379" t="e">
        <f>COUNTIFS(#REF!,"&gt;=08/01/2021",#REF!, "&lt;=08/31/2021",#REF!,"Naltrexone - Injectable ")</f>
        <v>#REF!</v>
      </c>
      <c r="AZ105" s="379"/>
      <c r="BA105" s="379"/>
      <c r="BB105" s="379"/>
      <c r="BC105" s="379"/>
      <c r="BD105" s="379"/>
      <c r="BE105" s="379" t="e">
        <f>COUNTIFS(#REF!,"&gt;=08/01/2021",#REF!, "&lt;=08/31/2021",#REF!,"Naltrexone - Oral")</f>
        <v>#REF!</v>
      </c>
      <c r="BF105" s="379"/>
      <c r="BG105" s="379"/>
      <c r="BH105" s="379"/>
      <c r="BI105" s="379"/>
      <c r="BJ105" s="379"/>
      <c r="BK105" s="379" t="e">
        <f>COUNTIFS(#REF!,"&gt;=08/01/2021",#REF!, "&lt;=08/31/2021",#REF!,"Changed MAT Type (Explain in Notes) ")</f>
        <v>#REF!</v>
      </c>
      <c r="BL105" s="379"/>
      <c r="BM105" s="379"/>
      <c r="BN105" s="379"/>
      <c r="BO105" s="379"/>
      <c r="BP105" s="379"/>
      <c r="BQ105" s="365" t="e">
        <f t="shared" si="6"/>
        <v>#REF!</v>
      </c>
      <c r="BR105" s="365"/>
      <c r="BS105" s="365"/>
      <c r="BT105" s="365"/>
      <c r="BU105" s="365"/>
      <c r="BV105" s="365"/>
      <c r="BW105" s="363" t="e">
        <f>COUNTIFS(#REF!,"&gt;=08/01/2021",#REF!, "&lt;=08/31/2021",#REF!,"Did not use MAT ")</f>
        <v>#REF!</v>
      </c>
      <c r="BX105" s="363"/>
      <c r="BY105" s="363"/>
      <c r="BZ105" s="363"/>
      <c r="CA105" s="363"/>
      <c r="CB105" s="363"/>
    </row>
    <row r="106" spans="1:87" x14ac:dyDescent="0.25">
      <c r="A106" s="389" t="s">
        <v>369</v>
      </c>
      <c r="B106" s="389"/>
      <c r="C106" s="389"/>
      <c r="D106" s="389"/>
      <c r="E106" s="389"/>
      <c r="F106" s="389"/>
      <c r="G106" s="389"/>
      <c r="H106" s="389"/>
      <c r="I106" s="389"/>
      <c r="J106" s="383" t="e">
        <f>COUNTIFS(#REF!,"&gt;=09/1/2021",#REF!, "&lt;=09/30/2021")</f>
        <v>#REF!</v>
      </c>
      <c r="K106" s="383"/>
      <c r="L106" s="383"/>
      <c r="M106" s="383"/>
      <c r="N106" s="383"/>
      <c r="O106" s="383"/>
      <c r="P106" s="383"/>
      <c r="Q106" s="383"/>
      <c r="R106" s="383"/>
      <c r="S106" s="383"/>
      <c r="T106" s="379" t="e">
        <f>COUNTIFS(#REF!,"&gt;=09/1/2021",#REF!, "&lt;=09/30/2021",#REF!,"YES")</f>
        <v>#REF!</v>
      </c>
      <c r="U106" s="379"/>
      <c r="V106" s="379"/>
      <c r="W106" s="379"/>
      <c r="X106" s="379"/>
      <c r="Y106" s="379"/>
      <c r="Z106" s="35"/>
      <c r="AA106" s="383" t="e">
        <f>COUNTIFS(#REF!,"&gt;=09/1/2021",#REF!, "&lt;=09/30/2021",#REF!,"Methadone")</f>
        <v>#REF!</v>
      </c>
      <c r="AB106" s="383"/>
      <c r="AC106" s="383"/>
      <c r="AD106" s="383"/>
      <c r="AE106" s="383"/>
      <c r="AF106" s="383"/>
      <c r="AG106" s="383" t="e">
        <f>COUNTIFS(#REF!,"&gt;=09/1/2021",#REF!, "&lt;=09/30/2021",#REF!,"Buprenorphine Oral")</f>
        <v>#REF!</v>
      </c>
      <c r="AH106" s="383"/>
      <c r="AI106" s="383"/>
      <c r="AJ106" s="383"/>
      <c r="AK106" s="383"/>
      <c r="AL106" s="383"/>
      <c r="AM106" s="379" t="e">
        <f>COUNTIFS(#REF!,"&gt;=09/1/2021",#REF!, "&lt;=09/30/2021",#REF!,"Buprenorphine - Injectable")</f>
        <v>#REF!</v>
      </c>
      <c r="AN106" s="379"/>
      <c r="AO106" s="379"/>
      <c r="AP106" s="379"/>
      <c r="AQ106" s="379"/>
      <c r="AR106" s="379"/>
      <c r="AS106" s="379" t="e">
        <f>COUNTIFS(#REF!,"&gt;=09/1/2021",#REF!, "&lt;=09/30/2021",#REF!,"Buprenorphine Implant")</f>
        <v>#REF!</v>
      </c>
      <c r="AT106" s="379"/>
      <c r="AU106" s="379"/>
      <c r="AV106" s="379"/>
      <c r="AW106" s="379"/>
      <c r="AX106" s="379"/>
      <c r="AY106" s="379" t="e">
        <f>COUNTIFS(#REF!,"&gt;=09/1/2021",#REF!, "&lt;=09/30/2021",#REF!,"Naltrexone - Injectable ")</f>
        <v>#REF!</v>
      </c>
      <c r="AZ106" s="379"/>
      <c r="BA106" s="379"/>
      <c r="BB106" s="379"/>
      <c r="BC106" s="379"/>
      <c r="BD106" s="379"/>
      <c r="BE106" s="379" t="e">
        <f>COUNTIFS(#REF!,"&gt;=09/1/2021",#REF!, "&lt;=09/30/2021",#REF!,"Naltrexone - Oral")</f>
        <v>#REF!</v>
      </c>
      <c r="BF106" s="379"/>
      <c r="BG106" s="379"/>
      <c r="BH106" s="379"/>
      <c r="BI106" s="379"/>
      <c r="BJ106" s="379"/>
      <c r="BK106" s="379" t="e">
        <f>COUNTIFS(#REF!,"&gt;=09/1/2021",#REF!, "&lt;=09/30/2021",#REF!,"Changed MAT Type (Explain in Notes) ")</f>
        <v>#REF!</v>
      </c>
      <c r="BL106" s="379"/>
      <c r="BM106" s="379"/>
      <c r="BN106" s="379"/>
      <c r="BO106" s="379"/>
      <c r="BP106" s="379"/>
      <c r="BQ106" s="365" t="e">
        <f t="shared" si="6"/>
        <v>#REF!</v>
      </c>
      <c r="BR106" s="365"/>
      <c r="BS106" s="365"/>
      <c r="BT106" s="365"/>
      <c r="BU106" s="365"/>
      <c r="BV106" s="365"/>
      <c r="BW106" s="363" t="e">
        <f>COUNTIFS(#REF!,"&gt;=09/1/2021",#REF!, "&lt;=09/30/2021",#REF!,"Did not use MAT ")</f>
        <v>#REF!</v>
      </c>
      <c r="BX106" s="363"/>
      <c r="BY106" s="363"/>
      <c r="BZ106" s="363"/>
      <c r="CA106" s="363"/>
      <c r="CB106" s="363"/>
    </row>
    <row r="107" spans="1:87" x14ac:dyDescent="0.25">
      <c r="A107" s="380"/>
      <c r="B107" s="380"/>
      <c r="C107" s="380"/>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5"/>
      <c r="AA107" s="380"/>
      <c r="AB107" s="380"/>
      <c r="AC107" s="380"/>
      <c r="AD107" s="380"/>
      <c r="AE107" s="380"/>
      <c r="AF107" s="380"/>
      <c r="AG107" s="380"/>
      <c r="AH107" s="380"/>
      <c r="AI107" s="380"/>
      <c r="AJ107" s="380"/>
      <c r="AK107" s="380"/>
      <c r="AL107" s="380"/>
      <c r="AM107" s="380"/>
      <c r="AN107" s="380"/>
      <c r="AO107" s="380"/>
      <c r="AP107" s="380"/>
      <c r="AQ107" s="380"/>
      <c r="AR107" s="380"/>
      <c r="AS107" s="380"/>
      <c r="AT107" s="380"/>
      <c r="AU107" s="380"/>
      <c r="AV107" s="380"/>
      <c r="AW107" s="380"/>
      <c r="AX107" s="380"/>
      <c r="AY107" s="380"/>
      <c r="AZ107" s="380"/>
      <c r="BA107" s="380"/>
      <c r="BB107" s="380"/>
      <c r="BC107" s="380"/>
      <c r="BD107" s="380"/>
      <c r="BE107" s="380"/>
      <c r="BF107" s="380"/>
      <c r="BG107" s="380"/>
      <c r="BH107" s="380"/>
      <c r="BI107" s="380"/>
      <c r="BJ107" s="380"/>
      <c r="BK107" s="380"/>
      <c r="BL107" s="380"/>
      <c r="BM107" s="380"/>
      <c r="BN107" s="380"/>
      <c r="BO107" s="380"/>
      <c r="BP107" s="380"/>
      <c r="BQ107" s="380"/>
      <c r="BR107" s="380"/>
      <c r="BS107" s="380"/>
      <c r="BT107" s="380"/>
      <c r="BU107" s="380"/>
      <c r="BV107" s="380"/>
      <c r="BW107" s="380"/>
      <c r="BX107" s="380"/>
      <c r="BY107" s="380"/>
      <c r="BZ107" s="380"/>
      <c r="CA107" s="380"/>
      <c r="CB107" s="380"/>
    </row>
    <row r="108" spans="1:87" ht="21" x14ac:dyDescent="0.35">
      <c r="A108" s="390" t="s">
        <v>345</v>
      </c>
      <c r="B108" s="390"/>
      <c r="C108" s="390"/>
      <c r="D108" s="390"/>
      <c r="E108" s="390"/>
      <c r="F108" s="390"/>
      <c r="G108" s="390"/>
      <c r="H108" s="390"/>
      <c r="I108" s="390"/>
      <c r="J108" s="391" t="e">
        <f>SUM(J82:J107)</f>
        <v>#REF!</v>
      </c>
      <c r="K108" s="391"/>
      <c r="L108" s="391"/>
      <c r="M108" s="391"/>
      <c r="N108" s="391"/>
      <c r="O108" s="391"/>
      <c r="P108" s="391"/>
      <c r="Q108" s="391"/>
      <c r="R108" s="391"/>
      <c r="S108" s="391"/>
      <c r="T108" s="372" t="e">
        <f>SUM(T82:T107)</f>
        <v>#REF!</v>
      </c>
      <c r="U108" s="372"/>
      <c r="V108" s="372"/>
      <c r="W108" s="372"/>
      <c r="X108" s="372"/>
      <c r="Y108" s="372"/>
      <c r="Z108" s="35"/>
      <c r="AA108" s="372" t="e">
        <f>SUM(AA82:AA107)</f>
        <v>#REF!</v>
      </c>
      <c r="AB108" s="372"/>
      <c r="AC108" s="372"/>
      <c r="AD108" s="372"/>
      <c r="AE108" s="372"/>
      <c r="AF108" s="372"/>
      <c r="AG108" s="372" t="e">
        <f>SUM(AG82:AG107)</f>
        <v>#REF!</v>
      </c>
      <c r="AH108" s="372"/>
      <c r="AI108" s="372"/>
      <c r="AJ108" s="372"/>
      <c r="AK108" s="372"/>
      <c r="AL108" s="372"/>
      <c r="AM108" s="372" t="e">
        <f>SUM(AM82:AM107)</f>
        <v>#REF!</v>
      </c>
      <c r="AN108" s="372"/>
      <c r="AO108" s="372"/>
      <c r="AP108" s="372"/>
      <c r="AQ108" s="372"/>
      <c r="AR108" s="372"/>
      <c r="AS108" s="372" t="e">
        <f>SUM(AS82:AS107)</f>
        <v>#REF!</v>
      </c>
      <c r="AT108" s="372"/>
      <c r="AU108" s="372"/>
      <c r="AV108" s="372"/>
      <c r="AW108" s="372"/>
      <c r="AX108" s="372"/>
      <c r="AY108" s="372" t="e">
        <f>SUM(AY82:AY107)</f>
        <v>#REF!</v>
      </c>
      <c r="AZ108" s="372"/>
      <c r="BA108" s="372"/>
      <c r="BB108" s="372"/>
      <c r="BC108" s="372"/>
      <c r="BD108" s="372"/>
      <c r="BE108" s="372" t="e">
        <f>SUM(BE82:BE107)</f>
        <v>#REF!</v>
      </c>
      <c r="BF108" s="372"/>
      <c r="BG108" s="372"/>
      <c r="BH108" s="372"/>
      <c r="BI108" s="372"/>
      <c r="BJ108" s="372"/>
      <c r="BK108" s="372" t="e">
        <f>SUM(BK82:BK107)</f>
        <v>#REF!</v>
      </c>
      <c r="BL108" s="372"/>
      <c r="BM108" s="372"/>
      <c r="BN108" s="372"/>
      <c r="BO108" s="372"/>
      <c r="BP108" s="372"/>
      <c r="BQ108" s="382" t="e">
        <f>SUM(BQ82:BQ107)</f>
        <v>#REF!</v>
      </c>
      <c r="BR108" s="382"/>
      <c r="BS108" s="382"/>
      <c r="BT108" s="382"/>
      <c r="BU108" s="382"/>
      <c r="BV108" s="382"/>
      <c r="BW108" s="381" t="e">
        <f>SUM(BW82:BW107)</f>
        <v>#REF!</v>
      </c>
      <c r="BX108" s="381"/>
      <c r="BY108" s="381"/>
      <c r="BZ108" s="381"/>
      <c r="CA108" s="381"/>
      <c r="CB108" s="381"/>
    </row>
    <row r="109" spans="1:87" ht="30" customHeight="1" x14ac:dyDescent="0.25">
      <c r="A109" s="392" t="s">
        <v>346</v>
      </c>
      <c r="B109" s="392"/>
      <c r="C109" s="392"/>
      <c r="D109" s="392"/>
      <c r="E109" s="392"/>
      <c r="F109" s="392"/>
      <c r="G109" s="392"/>
      <c r="H109" s="392"/>
      <c r="I109" s="392"/>
      <c r="J109" s="392" t="s">
        <v>347</v>
      </c>
      <c r="K109" s="392"/>
      <c r="L109" s="392"/>
      <c r="M109" s="392"/>
      <c r="N109" s="392"/>
      <c r="O109" s="392"/>
      <c r="P109" s="392"/>
      <c r="Q109" s="392"/>
      <c r="R109" s="392"/>
      <c r="S109" s="392"/>
      <c r="T109" s="393" t="s">
        <v>386</v>
      </c>
      <c r="U109" s="393"/>
      <c r="V109" s="393"/>
      <c r="W109" s="393"/>
      <c r="X109" s="393"/>
      <c r="Y109" s="393"/>
      <c r="Z109" s="35"/>
      <c r="AA109" s="384" t="s">
        <v>248</v>
      </c>
      <c r="AB109" s="385"/>
      <c r="AC109" s="385"/>
      <c r="AD109" s="385"/>
      <c r="AE109" s="385"/>
      <c r="AF109" s="386"/>
      <c r="AG109" s="384" t="s">
        <v>249</v>
      </c>
      <c r="AH109" s="385"/>
      <c r="AI109" s="385"/>
      <c r="AJ109" s="385"/>
      <c r="AK109" s="385"/>
      <c r="AL109" s="386"/>
      <c r="AM109" s="364" t="s">
        <v>250</v>
      </c>
      <c r="AN109" s="364"/>
      <c r="AO109" s="364"/>
      <c r="AP109" s="364"/>
      <c r="AQ109" s="364"/>
      <c r="AR109" s="364"/>
      <c r="AS109" s="364" t="s">
        <v>251</v>
      </c>
      <c r="AT109" s="364"/>
      <c r="AU109" s="364"/>
      <c r="AV109" s="364"/>
      <c r="AW109" s="364"/>
      <c r="AX109" s="364"/>
      <c r="AY109" s="364" t="s">
        <v>253</v>
      </c>
      <c r="AZ109" s="364"/>
      <c r="BA109" s="364"/>
      <c r="BB109" s="364"/>
      <c r="BC109" s="364"/>
      <c r="BD109" s="364"/>
      <c r="BE109" s="364" t="s">
        <v>252</v>
      </c>
      <c r="BF109" s="364"/>
      <c r="BG109" s="364"/>
      <c r="BH109" s="364"/>
      <c r="BI109" s="364"/>
      <c r="BJ109" s="364"/>
      <c r="BK109" s="364" t="s">
        <v>255</v>
      </c>
      <c r="BL109" s="364"/>
      <c r="BM109" s="364"/>
      <c r="BN109" s="364"/>
      <c r="BO109" s="364"/>
      <c r="BP109" s="364"/>
      <c r="BQ109" s="364" t="s">
        <v>388</v>
      </c>
      <c r="BR109" s="364"/>
      <c r="BS109" s="364"/>
      <c r="BT109" s="364"/>
      <c r="BU109" s="364"/>
      <c r="BV109" s="364"/>
      <c r="BW109" s="364" t="s">
        <v>254</v>
      </c>
      <c r="BX109" s="364"/>
      <c r="BY109" s="364"/>
      <c r="BZ109" s="364"/>
      <c r="CA109" s="364"/>
      <c r="CB109" s="364"/>
    </row>
    <row r="110" spans="1:87" ht="30" customHeight="1" x14ac:dyDescent="0.25">
      <c r="A110" s="36"/>
      <c r="B110" s="36"/>
      <c r="C110" s="36"/>
      <c r="D110" s="36"/>
      <c r="E110" s="36"/>
      <c r="F110" s="36"/>
      <c r="G110" s="36"/>
      <c r="H110" s="36"/>
      <c r="I110" s="36"/>
      <c r="J110" s="36"/>
      <c r="K110" s="36"/>
      <c r="L110" s="36"/>
      <c r="M110" s="36"/>
      <c r="N110" s="36"/>
      <c r="O110" s="36"/>
      <c r="P110" s="36"/>
      <c r="Q110" s="36"/>
      <c r="R110" s="36"/>
      <c r="S110" s="36"/>
      <c r="T110" s="37"/>
      <c r="U110" s="37"/>
      <c r="V110" s="37"/>
      <c r="W110" s="37"/>
      <c r="X110" s="37"/>
      <c r="Y110" s="37"/>
      <c r="AA110" s="38"/>
      <c r="AB110" s="38"/>
      <c r="AC110" s="38"/>
      <c r="AD110" s="38"/>
      <c r="AE110" s="38"/>
      <c r="AF110" s="38"/>
      <c r="AG110" s="38"/>
      <c r="AH110" s="38"/>
      <c r="AI110" s="38"/>
      <c r="AJ110" s="38"/>
      <c r="AK110" s="38"/>
      <c r="AL110" s="38"/>
      <c r="AM110" s="38"/>
      <c r="AN110" s="38"/>
      <c r="AO110" s="38"/>
      <c r="AP110" s="38"/>
      <c r="AQ110" s="38"/>
      <c r="AR110" s="46" t="s">
        <v>420</v>
      </c>
      <c r="AS110" s="46"/>
      <c r="AT110" s="46"/>
      <c r="AU110" s="46"/>
      <c r="AV110" s="46"/>
      <c r="AW110" s="46"/>
      <c r="AX110" s="46"/>
      <c r="AY110" s="46"/>
      <c r="AZ110" s="46"/>
      <c r="BA110" s="46"/>
      <c r="BB110" s="46" t="s">
        <v>421</v>
      </c>
      <c r="BC110" s="46"/>
      <c r="BD110" s="46"/>
      <c r="BE110" s="46"/>
      <c r="BF110" s="46"/>
      <c r="BG110" s="46"/>
      <c r="BH110" s="46"/>
      <c r="BI110" s="46"/>
      <c r="BJ110" s="46"/>
      <c r="BK110" s="46"/>
      <c r="BL110" s="46"/>
      <c r="BM110" s="46"/>
      <c r="BN110" s="46"/>
      <c r="BO110" s="46"/>
      <c r="BP110" s="46" t="s">
        <v>417</v>
      </c>
      <c r="BQ110" s="46"/>
      <c r="BR110" s="46"/>
      <c r="BS110" s="46"/>
      <c r="BT110" s="46"/>
      <c r="BU110" s="46"/>
      <c r="BV110" s="46"/>
      <c r="BW110" s="46"/>
      <c r="BX110" s="46"/>
      <c r="BY110" s="46"/>
      <c r="BZ110" s="46"/>
      <c r="CA110" s="46"/>
      <c r="CB110" s="46"/>
      <c r="CC110" s="54"/>
      <c r="CD110" s="54"/>
      <c r="CE110" s="54"/>
      <c r="CF110" s="54"/>
      <c r="CG110" s="54"/>
      <c r="CH110" s="54"/>
    </row>
    <row r="111" spans="1:87" ht="20.100000000000001" customHeight="1" x14ac:dyDescent="0.3">
      <c r="A111" s="360" t="s">
        <v>400</v>
      </c>
      <c r="B111" s="360"/>
      <c r="C111" s="360"/>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58" t="s">
        <v>93</v>
      </c>
      <c r="AS111" s="358"/>
      <c r="AT111" s="358"/>
      <c r="AU111" s="358"/>
      <c r="AV111" s="358"/>
      <c r="AW111" s="358"/>
      <c r="AX111" s="358"/>
      <c r="AY111" s="358"/>
      <c r="AZ111" s="358"/>
      <c r="BA111" s="358"/>
      <c r="BB111" s="358" t="s">
        <v>94</v>
      </c>
      <c r="BC111" s="358"/>
      <c r="BD111" s="358"/>
      <c r="BE111" s="358"/>
      <c r="BF111" s="358"/>
      <c r="BG111" s="358"/>
      <c r="BH111" s="358"/>
      <c r="BI111" s="358"/>
      <c r="BJ111" s="358"/>
      <c r="BK111" s="358"/>
      <c r="BL111" s="366" t="s">
        <v>401</v>
      </c>
      <c r="BM111" s="366"/>
      <c r="BN111" s="366"/>
      <c r="BO111" s="366"/>
      <c r="BP111" s="366"/>
      <c r="BQ111" s="366"/>
      <c r="BR111" s="366"/>
      <c r="BS111" s="366"/>
      <c r="BT111" s="366"/>
      <c r="BU111" s="366"/>
      <c r="BV111" s="366"/>
      <c r="BW111" s="366"/>
      <c r="BX111" s="366"/>
      <c r="BY111" s="366"/>
      <c r="BZ111" s="358" t="s">
        <v>136</v>
      </c>
      <c r="CA111" s="358"/>
      <c r="CB111" s="358"/>
      <c r="CC111" s="358"/>
      <c r="CD111" s="358"/>
      <c r="CE111" s="358"/>
      <c r="CF111" s="358"/>
      <c r="CG111" s="358"/>
      <c r="CH111" s="358"/>
      <c r="CI111" s="358"/>
    </row>
    <row r="112" spans="1:87" ht="20.100000000000001" customHeight="1" x14ac:dyDescent="0.25">
      <c r="A112" s="345" t="s">
        <v>398</v>
      </c>
      <c r="B112" s="345"/>
      <c r="C112" s="345"/>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45"/>
      <c r="AE112" s="345"/>
      <c r="AF112" s="345"/>
      <c r="AG112" s="345"/>
      <c r="AH112" s="345"/>
      <c r="AI112" s="345"/>
      <c r="AJ112" s="345"/>
      <c r="AK112" s="345"/>
      <c r="AL112" s="345"/>
      <c r="AM112" s="345"/>
      <c r="AN112" s="345"/>
      <c r="AO112" s="345"/>
      <c r="AP112" s="345"/>
      <c r="AQ112" s="345"/>
      <c r="AR112" s="359" t="e">
        <f>COUNTIFS(#REF!, "YES")</f>
        <v>#REF!</v>
      </c>
      <c r="AS112" s="359"/>
      <c r="AT112" s="359"/>
      <c r="AU112" s="359"/>
      <c r="AV112" s="359"/>
      <c r="AW112" s="359"/>
      <c r="AX112" s="359"/>
      <c r="AY112" s="359"/>
      <c r="AZ112" s="359"/>
      <c r="BA112" s="359"/>
      <c r="BB112" s="361" t="e">
        <f>COUNTIFS(#REF!, "NO")</f>
        <v>#REF!</v>
      </c>
      <c r="BC112" s="361"/>
      <c r="BD112" s="361"/>
      <c r="BE112" s="361"/>
      <c r="BF112" s="361"/>
      <c r="BG112" s="361"/>
      <c r="BH112" s="361"/>
      <c r="BI112" s="361"/>
      <c r="BJ112" s="361"/>
      <c r="BK112" s="361"/>
      <c r="BL112" s="342"/>
      <c r="BM112" s="343"/>
      <c r="BN112" s="343"/>
      <c r="BO112" s="343"/>
      <c r="BP112" s="55"/>
      <c r="BQ112" s="55"/>
      <c r="BR112" s="55"/>
      <c r="BS112" s="55"/>
      <c r="BT112" s="55"/>
      <c r="BU112" s="55"/>
      <c r="BV112" s="55"/>
      <c r="BW112" s="55"/>
      <c r="BX112" s="55"/>
      <c r="BY112" s="55"/>
      <c r="BZ112" s="356" t="e">
        <f>SUM(AR112:BB112)</f>
        <v>#REF!</v>
      </c>
      <c r="CA112" s="356"/>
      <c r="CB112" s="356"/>
      <c r="CC112" s="356"/>
      <c r="CD112" s="356"/>
      <c r="CE112" s="356"/>
      <c r="CF112" s="356"/>
      <c r="CG112" s="356"/>
      <c r="CH112" s="356"/>
      <c r="CI112" s="356"/>
    </row>
    <row r="113" spans="1:103" ht="20.100000000000001" customHeight="1" x14ac:dyDescent="0.25">
      <c r="A113" s="344" t="s">
        <v>326</v>
      </c>
      <c r="B113" s="344"/>
      <c r="C113" s="344"/>
      <c r="D113" s="344"/>
      <c r="E113" s="344"/>
      <c r="F113" s="344"/>
      <c r="G113" s="344"/>
      <c r="H113" s="344"/>
      <c r="I113" s="344"/>
      <c r="J113" s="344"/>
      <c r="K113" s="344"/>
      <c r="L113" s="344"/>
      <c r="M113" s="344"/>
      <c r="N113" s="344"/>
      <c r="O113" s="344"/>
      <c r="P113" s="344"/>
      <c r="Q113" s="344"/>
      <c r="R113" s="344"/>
      <c r="S113" s="344"/>
      <c r="T113" s="344"/>
      <c r="U113" s="344"/>
      <c r="V113" s="344"/>
      <c r="W113" s="344"/>
      <c r="X113" s="344"/>
      <c r="Y113" s="344"/>
      <c r="Z113" s="344"/>
      <c r="AA113" s="344"/>
      <c r="AB113" s="344"/>
      <c r="AC113" s="344"/>
      <c r="AD113" s="344"/>
      <c r="AE113" s="344"/>
      <c r="AF113" s="344"/>
      <c r="AG113" s="344"/>
      <c r="AH113" s="344"/>
      <c r="AI113" s="344"/>
      <c r="AJ113" s="344"/>
      <c r="AK113" s="344"/>
      <c r="AL113" s="344"/>
      <c r="AM113" s="344"/>
      <c r="AN113" s="344"/>
      <c r="AO113" s="344"/>
      <c r="AP113" s="344"/>
      <c r="AQ113" s="344"/>
      <c r="AR113" s="304" t="e">
        <f>COUNTIFS(#REF!, "YES")</f>
        <v>#REF!</v>
      </c>
      <c r="AS113" s="304"/>
      <c r="AT113" s="304"/>
      <c r="AU113" s="304"/>
      <c r="AV113" s="304"/>
      <c r="AW113" s="304"/>
      <c r="AX113" s="304"/>
      <c r="AY113" s="304"/>
      <c r="AZ113" s="304"/>
      <c r="BA113" s="304"/>
      <c r="BB113" s="304" t="e">
        <f>COUNTIFS(#REF!, "NO")</f>
        <v>#REF!</v>
      </c>
      <c r="BC113" s="304"/>
      <c r="BD113" s="304"/>
      <c r="BE113" s="304"/>
      <c r="BF113" s="304"/>
      <c r="BG113" s="304"/>
      <c r="BH113" s="304"/>
      <c r="BI113" s="304"/>
      <c r="BJ113" s="304"/>
      <c r="BK113" s="304"/>
      <c r="BL113" s="302" t="s">
        <v>262</v>
      </c>
      <c r="BM113" s="302"/>
      <c r="BN113" s="302"/>
      <c r="BO113" s="302"/>
      <c r="BP113" s="304" t="e">
        <f>COUNTIFS(#REF!, "NO")</f>
        <v>#REF!</v>
      </c>
      <c r="BQ113" s="304"/>
      <c r="BR113" s="304"/>
      <c r="BS113" s="304"/>
      <c r="BT113" s="304"/>
      <c r="BU113" s="304"/>
      <c r="BV113" s="304"/>
      <c r="BW113" s="304"/>
      <c r="BX113" s="304"/>
      <c r="BY113" s="304"/>
      <c r="BZ113" s="357" t="e">
        <f>SUM(AR113+BB113+BP113)</f>
        <v>#REF!</v>
      </c>
      <c r="CA113" s="357"/>
      <c r="CB113" s="357"/>
      <c r="CC113" s="357"/>
      <c r="CD113" s="357"/>
      <c r="CE113" s="357"/>
      <c r="CF113" s="357"/>
      <c r="CG113" s="357"/>
      <c r="CH113" s="357"/>
      <c r="CI113" s="357"/>
    </row>
    <row r="114" spans="1:103" ht="20.100000000000001" customHeight="1" x14ac:dyDescent="0.25">
      <c r="A114" s="345" t="s">
        <v>399</v>
      </c>
      <c r="B114" s="345"/>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c r="AF114" s="345"/>
      <c r="AG114" s="345"/>
      <c r="AH114" s="345"/>
      <c r="AI114" s="345"/>
      <c r="AJ114" s="345"/>
      <c r="AK114" s="345"/>
      <c r="AL114" s="345"/>
      <c r="AM114" s="345"/>
      <c r="AN114" s="345"/>
      <c r="AO114" s="345"/>
      <c r="AP114" s="345"/>
      <c r="AQ114" s="345"/>
      <c r="AR114" s="305" t="e">
        <f>COUNTIFS(#REF!, "YES")</f>
        <v>#REF!</v>
      </c>
      <c r="AS114" s="305"/>
      <c r="AT114" s="305"/>
      <c r="AU114" s="305"/>
      <c r="AV114" s="305"/>
      <c r="AW114" s="305"/>
      <c r="AX114" s="305"/>
      <c r="AY114" s="305"/>
      <c r="AZ114" s="305"/>
      <c r="BA114" s="305"/>
      <c r="BB114" s="305" t="e">
        <f>COUNTIFS(#REF!, "NO")</f>
        <v>#REF!</v>
      </c>
      <c r="BC114" s="305"/>
      <c r="BD114" s="305"/>
      <c r="BE114" s="305"/>
      <c r="BF114" s="305"/>
      <c r="BG114" s="305"/>
      <c r="BH114" s="305"/>
      <c r="BI114" s="305"/>
      <c r="BJ114" s="305"/>
      <c r="BK114" s="305"/>
      <c r="BL114" s="303" t="s">
        <v>406</v>
      </c>
      <c r="BM114" s="303"/>
      <c r="BN114" s="303"/>
      <c r="BO114" s="303"/>
      <c r="BP114" s="305" t="e">
        <f>COUNTIFS(#REF!, "N/A already on MAT ")</f>
        <v>#REF!</v>
      </c>
      <c r="BQ114" s="305"/>
      <c r="BR114" s="305"/>
      <c r="BS114" s="305"/>
      <c r="BT114" s="305"/>
      <c r="BU114" s="305"/>
      <c r="BV114" s="305"/>
      <c r="BW114" s="305"/>
      <c r="BX114" s="305"/>
      <c r="BY114" s="305"/>
      <c r="BZ114" s="356" t="e">
        <f>SUM(AR114+BB114+BP114)</f>
        <v>#REF!</v>
      </c>
      <c r="CA114" s="356"/>
      <c r="CB114" s="356"/>
      <c r="CC114" s="356"/>
      <c r="CD114" s="356"/>
      <c r="CE114" s="356"/>
      <c r="CF114" s="356"/>
      <c r="CG114" s="356"/>
      <c r="CH114" s="356"/>
      <c r="CI114" s="356"/>
    </row>
    <row r="115" spans="1:103" ht="20.100000000000001" customHeight="1" x14ac:dyDescent="0.25">
      <c r="A115" s="344" t="s">
        <v>319</v>
      </c>
      <c r="B115" s="344"/>
      <c r="C115" s="344"/>
      <c r="D115" s="344"/>
      <c r="E115" s="344"/>
      <c r="F115" s="344"/>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344"/>
      <c r="AO115" s="344"/>
      <c r="AP115" s="344"/>
      <c r="AQ115" s="344"/>
      <c r="AR115" s="304" t="e">
        <f>COUNTIFS(#REF!, "YES")</f>
        <v>#REF!</v>
      </c>
      <c r="AS115" s="304"/>
      <c r="AT115" s="304"/>
      <c r="AU115" s="304"/>
      <c r="AV115" s="304"/>
      <c r="AW115" s="304"/>
      <c r="AX115" s="304"/>
      <c r="AY115" s="304"/>
      <c r="AZ115" s="304"/>
      <c r="BA115" s="304"/>
      <c r="BB115" s="362" t="e">
        <f>COUNTIFS(#REF!, "YES")</f>
        <v>#REF!</v>
      </c>
      <c r="BC115" s="362"/>
      <c r="BD115" s="362"/>
      <c r="BE115" s="362"/>
      <c r="BF115" s="362"/>
      <c r="BG115" s="362"/>
      <c r="BH115" s="362"/>
      <c r="BI115" s="362"/>
      <c r="BJ115" s="362"/>
      <c r="BK115" s="362"/>
      <c r="BL115" s="342"/>
      <c r="BM115" s="343"/>
      <c r="BN115" s="343"/>
      <c r="BO115" s="343"/>
      <c r="BP115" s="56"/>
      <c r="BQ115" s="56"/>
      <c r="BR115" s="56"/>
      <c r="BS115" s="56"/>
      <c r="BT115" s="56"/>
      <c r="BU115" s="56"/>
      <c r="BV115" s="56"/>
      <c r="BW115" s="56"/>
      <c r="BX115" s="56"/>
      <c r="BY115" s="56"/>
      <c r="BZ115" s="357" t="e">
        <f>SUM(AR115:BB115)</f>
        <v>#REF!</v>
      </c>
      <c r="CA115" s="357"/>
      <c r="CB115" s="357"/>
      <c r="CC115" s="357"/>
      <c r="CD115" s="357"/>
      <c r="CE115" s="357"/>
      <c r="CF115" s="357"/>
      <c r="CG115" s="357"/>
      <c r="CH115" s="357"/>
      <c r="CI115" s="357"/>
    </row>
    <row r="116" spans="1:103" ht="20.100000000000001" customHeight="1" x14ac:dyDescent="0.25">
      <c r="A116" s="345" t="s">
        <v>342</v>
      </c>
      <c r="B116" s="345"/>
      <c r="C116" s="345"/>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5"/>
      <c r="AD116" s="345"/>
      <c r="AE116" s="345"/>
      <c r="AF116" s="345"/>
      <c r="AG116" s="345"/>
      <c r="AH116" s="345"/>
      <c r="AI116" s="345"/>
      <c r="AJ116" s="345"/>
      <c r="AK116" s="345"/>
      <c r="AL116" s="345"/>
      <c r="AM116" s="345"/>
      <c r="AN116" s="345"/>
      <c r="AO116" s="345"/>
      <c r="AP116" s="345"/>
      <c r="AQ116" s="345"/>
      <c r="AR116" s="305" t="e">
        <f>COUNTIFS(#REF!, "YES")</f>
        <v>#REF!</v>
      </c>
      <c r="AS116" s="305"/>
      <c r="AT116" s="305"/>
      <c r="AU116" s="305"/>
      <c r="AV116" s="305"/>
      <c r="AW116" s="305"/>
      <c r="AX116" s="305"/>
      <c r="AY116" s="305"/>
      <c r="AZ116" s="305"/>
      <c r="BA116" s="305"/>
      <c r="BB116" s="305" t="e">
        <f>COUNTIFS(#REF!, "NO")</f>
        <v>#REF!</v>
      </c>
      <c r="BC116" s="305"/>
      <c r="BD116" s="305"/>
      <c r="BE116" s="305"/>
      <c r="BF116" s="305"/>
      <c r="BG116" s="305"/>
      <c r="BH116" s="305"/>
      <c r="BI116" s="305"/>
      <c r="BJ116" s="305"/>
      <c r="BK116" s="305"/>
      <c r="BL116" s="342"/>
      <c r="BM116" s="343"/>
      <c r="BN116" s="343"/>
      <c r="BO116" s="343"/>
      <c r="BP116" s="28"/>
      <c r="BQ116" s="28"/>
      <c r="BR116" s="28"/>
      <c r="BS116" s="28"/>
      <c r="BT116" s="28"/>
      <c r="BU116" s="28"/>
      <c r="BV116" s="28"/>
      <c r="BW116" s="28"/>
      <c r="BX116" s="28"/>
      <c r="BY116" s="28"/>
      <c r="BZ116" s="356" t="e">
        <f>SUM(AR116:BB116)</f>
        <v>#REF!</v>
      </c>
      <c r="CA116" s="356"/>
      <c r="CB116" s="356"/>
      <c r="CC116" s="356"/>
      <c r="CD116" s="356"/>
      <c r="CE116" s="356"/>
      <c r="CF116" s="356"/>
      <c r="CG116" s="356"/>
      <c r="CH116" s="356"/>
      <c r="CI116" s="356"/>
    </row>
    <row r="118" spans="1:103" x14ac:dyDescent="0.25">
      <c r="AI118" t="s">
        <v>415</v>
      </c>
      <c r="AT118" t="s">
        <v>419</v>
      </c>
      <c r="BE118" t="s">
        <v>416</v>
      </c>
      <c r="BP118" t="s">
        <v>417</v>
      </c>
      <c r="CA118" t="s">
        <v>418</v>
      </c>
    </row>
    <row r="119" spans="1:103" ht="18.75" x14ac:dyDescent="0.3">
      <c r="A119" s="352" t="s">
        <v>404</v>
      </c>
      <c r="B119" s="353"/>
      <c r="C119" s="353"/>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4"/>
      <c r="AC119" s="324" t="s">
        <v>413</v>
      </c>
      <c r="AD119" s="324"/>
      <c r="AE119" s="324"/>
      <c r="AF119" s="324"/>
      <c r="AG119" s="324"/>
      <c r="AH119" s="324"/>
      <c r="AI119" s="273" t="s">
        <v>136</v>
      </c>
      <c r="AJ119" s="274"/>
      <c r="AK119" s="274"/>
      <c r="AL119" s="274"/>
      <c r="AM119" s="275"/>
      <c r="AN119" s="324" t="s">
        <v>412</v>
      </c>
      <c r="AO119" s="324"/>
      <c r="AP119" s="324"/>
      <c r="AQ119" s="324"/>
      <c r="AR119" s="324"/>
      <c r="AS119" s="324"/>
      <c r="AT119" s="273" t="s">
        <v>136</v>
      </c>
      <c r="AU119" s="274"/>
      <c r="AV119" s="274"/>
      <c r="AW119" s="274"/>
      <c r="AX119" s="275"/>
      <c r="AY119" s="324" t="s">
        <v>412</v>
      </c>
      <c r="AZ119" s="324"/>
      <c r="BA119" s="324"/>
      <c r="BB119" s="324"/>
      <c r="BC119" s="324"/>
      <c r="BD119" s="324"/>
      <c r="BE119" s="273" t="s">
        <v>136</v>
      </c>
      <c r="BF119" s="274"/>
      <c r="BG119" s="274"/>
      <c r="BH119" s="274"/>
      <c r="BI119" s="275"/>
      <c r="BJ119" s="324" t="s">
        <v>412</v>
      </c>
      <c r="BK119" s="324"/>
      <c r="BL119" s="324"/>
      <c r="BM119" s="324"/>
      <c r="BN119" s="324"/>
      <c r="BO119" s="324"/>
      <c r="BP119" s="332" t="s">
        <v>136</v>
      </c>
      <c r="BQ119" s="333"/>
      <c r="BR119" s="333"/>
      <c r="BS119" s="333"/>
      <c r="BT119" s="334"/>
      <c r="BU119" s="271" t="s">
        <v>136</v>
      </c>
      <c r="BV119" s="271"/>
      <c r="BW119" s="271"/>
      <c r="BX119" s="271"/>
      <c r="BY119" s="271"/>
      <c r="BZ119" s="271"/>
      <c r="CA119" s="271"/>
      <c r="CB119" s="271"/>
      <c r="CC119" s="271"/>
      <c r="CD119" s="271"/>
      <c r="CE119" s="51"/>
      <c r="CU119" s="42"/>
      <c r="CV119" s="42"/>
      <c r="CW119" s="42"/>
      <c r="CX119" s="42"/>
      <c r="CY119" s="42"/>
    </row>
    <row r="120" spans="1:103" ht="24.95" customHeight="1" x14ac:dyDescent="0.25">
      <c r="A120" s="335" t="s">
        <v>322</v>
      </c>
      <c r="B120" s="336"/>
      <c r="C120" s="336"/>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7"/>
      <c r="AC120" s="327" t="s">
        <v>407</v>
      </c>
      <c r="AD120" s="327"/>
      <c r="AE120" s="327"/>
      <c r="AF120" s="327"/>
      <c r="AG120" s="327"/>
      <c r="AH120" s="327"/>
      <c r="AI120" s="346" t="e">
        <f xml:space="preserve"> SUM(#REF!)</f>
        <v>#REF!</v>
      </c>
      <c r="AJ120" s="347"/>
      <c r="AK120" s="347"/>
      <c r="AL120" s="347"/>
      <c r="AM120" s="348"/>
      <c r="AN120" s="325"/>
      <c r="AO120" s="325"/>
      <c r="AP120" s="325"/>
      <c r="AQ120" s="325"/>
      <c r="AR120" s="325"/>
      <c r="AS120" s="325"/>
      <c r="AT120" s="276"/>
      <c r="AU120" s="277"/>
      <c r="AV120" s="277"/>
      <c r="AW120" s="277"/>
      <c r="AX120" s="278"/>
      <c r="AY120" s="325"/>
      <c r="AZ120" s="325"/>
      <c r="BA120" s="325"/>
      <c r="BB120" s="325"/>
      <c r="BC120" s="325"/>
      <c r="BD120" s="325"/>
      <c r="BE120" s="276"/>
      <c r="BF120" s="277"/>
      <c r="BG120" s="277"/>
      <c r="BH120" s="277"/>
      <c r="BI120" s="278"/>
      <c r="BJ120" s="325"/>
      <c r="BK120" s="325"/>
      <c r="BL120" s="325"/>
      <c r="BM120" s="325"/>
      <c r="BN120" s="325"/>
      <c r="BO120" s="325"/>
      <c r="BP120" s="276"/>
      <c r="BQ120" s="277"/>
      <c r="BR120" s="277"/>
      <c r="BS120" s="277"/>
      <c r="BT120" s="278"/>
      <c r="BU120" s="272" t="e">
        <f>AI120</f>
        <v>#REF!</v>
      </c>
      <c r="BV120" s="272"/>
      <c r="BW120" s="272"/>
      <c r="BX120" s="272"/>
      <c r="BY120" s="272"/>
      <c r="BZ120" s="272"/>
      <c r="CA120" s="272"/>
      <c r="CB120" s="272"/>
      <c r="CC120" s="272"/>
      <c r="CD120" s="272"/>
      <c r="CE120" s="52"/>
      <c r="CU120" s="43"/>
      <c r="CV120" s="43"/>
      <c r="CW120" s="43"/>
      <c r="CX120" s="43"/>
      <c r="CY120" s="43"/>
    </row>
    <row r="121" spans="1:103" ht="30" customHeight="1" x14ac:dyDescent="0.25">
      <c r="A121" s="338" t="s">
        <v>340</v>
      </c>
      <c r="B121" s="339"/>
      <c r="C121" s="339"/>
      <c r="D121" s="339"/>
      <c r="E121" s="339"/>
      <c r="F121" s="339"/>
      <c r="G121" s="339"/>
      <c r="H121" s="339"/>
      <c r="I121" s="339"/>
      <c r="J121" s="339"/>
      <c r="K121" s="339"/>
      <c r="L121" s="339"/>
      <c r="M121" s="339"/>
      <c r="N121" s="339"/>
      <c r="O121" s="339"/>
      <c r="P121" s="339"/>
      <c r="Q121" s="339"/>
      <c r="R121" s="339"/>
      <c r="S121" s="339"/>
      <c r="T121" s="339"/>
      <c r="U121" s="339"/>
      <c r="V121" s="339"/>
      <c r="W121" s="339"/>
      <c r="X121" s="339"/>
      <c r="Y121" s="339"/>
      <c r="Z121" s="339"/>
      <c r="AA121" s="339"/>
      <c r="AB121" s="340"/>
      <c r="AC121" s="328" t="s">
        <v>408</v>
      </c>
      <c r="AD121" s="328"/>
      <c r="AE121" s="328"/>
      <c r="AF121" s="328"/>
      <c r="AG121" s="328"/>
      <c r="AH121" s="328"/>
      <c r="AI121" s="282" t="e">
        <f>COUNTIFS(#REF!, "YES")</f>
        <v>#REF!</v>
      </c>
      <c r="AJ121" s="283"/>
      <c r="AK121" s="283"/>
      <c r="AL121" s="283"/>
      <c r="AM121" s="284"/>
      <c r="AN121" s="328" t="s">
        <v>409</v>
      </c>
      <c r="AO121" s="328"/>
      <c r="AP121" s="328"/>
      <c r="AQ121" s="328"/>
      <c r="AR121" s="328"/>
      <c r="AS121" s="328"/>
      <c r="AT121" s="282" t="e">
        <f>COUNTIFS(#REF!, "NO")</f>
        <v>#REF!</v>
      </c>
      <c r="AU121" s="283"/>
      <c r="AV121" s="283"/>
      <c r="AW121" s="283"/>
      <c r="AX121" s="284"/>
      <c r="AY121" s="326"/>
      <c r="AZ121" s="326"/>
      <c r="BA121" s="326"/>
      <c r="BB121" s="326"/>
      <c r="BC121" s="326"/>
      <c r="BD121" s="326"/>
      <c r="BE121" s="264"/>
      <c r="BF121" s="265"/>
      <c r="BG121" s="265"/>
      <c r="BH121" s="265"/>
      <c r="BI121" s="266"/>
      <c r="BJ121" s="341"/>
      <c r="BK121" s="341"/>
      <c r="BL121" s="341"/>
      <c r="BM121" s="341"/>
      <c r="BN121" s="341"/>
      <c r="BO121" s="341"/>
      <c r="BP121" s="264"/>
      <c r="BQ121" s="265"/>
      <c r="BR121" s="265"/>
      <c r="BS121" s="265"/>
      <c r="BT121" s="266"/>
      <c r="BU121" s="272" t="e">
        <f>AI121+AT121+BE121+BP121</f>
        <v>#REF!</v>
      </c>
      <c r="BV121" s="272"/>
      <c r="BW121" s="272"/>
      <c r="BX121" s="272"/>
      <c r="BY121" s="272"/>
      <c r="BZ121" s="272"/>
      <c r="CA121" s="272"/>
      <c r="CB121" s="272"/>
      <c r="CC121" s="272"/>
      <c r="CD121" s="272"/>
      <c r="CE121" s="50"/>
      <c r="CU121" s="44"/>
      <c r="CV121" s="44"/>
      <c r="CW121" s="44"/>
      <c r="CX121" s="44"/>
      <c r="CY121" s="44"/>
    </row>
    <row r="122" spans="1:103" ht="30" customHeight="1" x14ac:dyDescent="0.25">
      <c r="A122" s="335" t="s">
        <v>341</v>
      </c>
      <c r="B122" s="336"/>
      <c r="C122" s="336"/>
      <c r="D122" s="336"/>
      <c r="E122" s="336"/>
      <c r="F122" s="336"/>
      <c r="G122" s="336"/>
      <c r="H122" s="336"/>
      <c r="I122" s="336"/>
      <c r="J122" s="336"/>
      <c r="K122" s="336"/>
      <c r="L122" s="336"/>
      <c r="M122" s="336"/>
      <c r="N122" s="336"/>
      <c r="O122" s="336"/>
      <c r="P122" s="336"/>
      <c r="Q122" s="336"/>
      <c r="R122" s="336"/>
      <c r="S122" s="336"/>
      <c r="T122" s="336"/>
      <c r="U122" s="336"/>
      <c r="V122" s="336"/>
      <c r="W122" s="336"/>
      <c r="X122" s="336"/>
      <c r="Y122" s="336"/>
      <c r="Z122" s="336"/>
      <c r="AA122" s="336"/>
      <c r="AB122" s="337"/>
      <c r="AC122" s="327" t="s">
        <v>339</v>
      </c>
      <c r="AD122" s="327"/>
      <c r="AE122" s="327"/>
      <c r="AF122" s="327"/>
      <c r="AG122" s="327"/>
      <c r="AH122" s="327"/>
      <c r="AI122" s="279" t="e">
        <f>COUNTIFS(#REF!, "MAT ONLY")</f>
        <v>#REF!</v>
      </c>
      <c r="AJ122" s="280"/>
      <c r="AK122" s="280"/>
      <c r="AL122" s="280"/>
      <c r="AM122" s="281"/>
      <c r="AN122" s="327" t="s">
        <v>410</v>
      </c>
      <c r="AO122" s="327"/>
      <c r="AP122" s="327"/>
      <c r="AQ122" s="327"/>
      <c r="AR122" s="327"/>
      <c r="AS122" s="327"/>
      <c r="AT122" s="279" t="e">
        <f>COUNTIFS(#REF!, "MAT and OTHER TX (list other in Notes)")</f>
        <v>#REF!</v>
      </c>
      <c r="AU122" s="280"/>
      <c r="AV122" s="280"/>
      <c r="AW122" s="280"/>
      <c r="AX122" s="281"/>
      <c r="AY122" s="327" t="s">
        <v>411</v>
      </c>
      <c r="AZ122" s="327"/>
      <c r="BA122" s="327"/>
      <c r="BB122" s="327"/>
      <c r="BC122" s="327"/>
      <c r="BD122" s="327"/>
      <c r="BE122" s="279" t="e">
        <f>COUNTIFS(#REF!, "OTHER TX (list in notes)")</f>
        <v>#REF!</v>
      </c>
      <c r="BF122" s="280"/>
      <c r="BG122" s="280"/>
      <c r="BH122" s="280"/>
      <c r="BI122" s="281"/>
      <c r="BJ122" s="327" t="s">
        <v>338</v>
      </c>
      <c r="BK122" s="327"/>
      <c r="BL122" s="327"/>
      <c r="BM122" s="327"/>
      <c r="BN122" s="327"/>
      <c r="BO122" s="327"/>
      <c r="BP122" s="279" t="e">
        <f>COUNTIFS(#REF!, "NONE")</f>
        <v>#REF!</v>
      </c>
      <c r="BQ122" s="280"/>
      <c r="BR122" s="280"/>
      <c r="BS122" s="280"/>
      <c r="BT122" s="281"/>
      <c r="BU122" s="272" t="e">
        <f>AI122+AT122+BE122+BP122</f>
        <v>#REF!</v>
      </c>
      <c r="BV122" s="272"/>
      <c r="BW122" s="272"/>
      <c r="BX122" s="272"/>
      <c r="BY122" s="272"/>
      <c r="BZ122" s="272"/>
      <c r="CA122" s="272"/>
      <c r="CB122" s="272"/>
      <c r="CC122" s="272"/>
      <c r="CD122" s="272"/>
      <c r="CE122" s="50"/>
      <c r="CU122" s="44"/>
      <c r="CV122" s="44"/>
      <c r="CW122" s="44"/>
      <c r="CX122" s="44"/>
      <c r="CY122" s="44"/>
    </row>
    <row r="123" spans="1:103" ht="30" customHeight="1" x14ac:dyDescent="0.25">
      <c r="A123" s="338" t="s">
        <v>405</v>
      </c>
      <c r="B123" s="339"/>
      <c r="C123" s="339"/>
      <c r="D123" s="339"/>
      <c r="E123" s="339"/>
      <c r="F123" s="339"/>
      <c r="G123" s="339"/>
      <c r="H123" s="339"/>
      <c r="I123" s="339"/>
      <c r="J123" s="339"/>
      <c r="K123" s="339"/>
      <c r="L123" s="339"/>
      <c r="M123" s="339"/>
      <c r="N123" s="339"/>
      <c r="O123" s="339"/>
      <c r="P123" s="339"/>
      <c r="Q123" s="339"/>
      <c r="R123" s="339"/>
      <c r="S123" s="339"/>
      <c r="T123" s="339"/>
      <c r="U123" s="339"/>
      <c r="V123" s="339"/>
      <c r="W123" s="339"/>
      <c r="X123" s="339"/>
      <c r="Y123" s="339"/>
      <c r="Z123" s="339"/>
      <c r="AA123" s="339"/>
      <c r="AB123" s="340"/>
      <c r="AC123" s="328" t="s">
        <v>339</v>
      </c>
      <c r="AD123" s="328"/>
      <c r="AE123" s="328"/>
      <c r="AF123" s="328"/>
      <c r="AG123" s="328"/>
      <c r="AH123" s="328"/>
      <c r="AI123" s="282" t="e">
        <f>COUNTIFS(#REF!, "MAT ONLY")</f>
        <v>#REF!</v>
      </c>
      <c r="AJ123" s="283"/>
      <c r="AK123" s="283"/>
      <c r="AL123" s="283"/>
      <c r="AM123" s="284"/>
      <c r="AN123" s="328" t="s">
        <v>410</v>
      </c>
      <c r="AO123" s="328"/>
      <c r="AP123" s="328"/>
      <c r="AQ123" s="328"/>
      <c r="AR123" s="328"/>
      <c r="AS123" s="328"/>
      <c r="AT123" s="282" t="e">
        <f>COUNTIFS(#REF!, "MAT and OTHER TX (list other in Notes)")</f>
        <v>#REF!</v>
      </c>
      <c r="AU123" s="283"/>
      <c r="AV123" s="283"/>
      <c r="AW123" s="283"/>
      <c r="AX123" s="284"/>
      <c r="AY123" s="328" t="s">
        <v>411</v>
      </c>
      <c r="AZ123" s="328"/>
      <c r="BA123" s="328"/>
      <c r="BB123" s="328"/>
      <c r="BC123" s="328"/>
      <c r="BD123" s="328"/>
      <c r="BE123" s="282" t="e">
        <f>COUNTIFS(#REF!, "OTHER TX (list in notes)")</f>
        <v>#REF!</v>
      </c>
      <c r="BF123" s="283"/>
      <c r="BG123" s="283"/>
      <c r="BH123" s="283"/>
      <c r="BI123" s="284"/>
      <c r="BJ123" s="328" t="s">
        <v>338</v>
      </c>
      <c r="BK123" s="328"/>
      <c r="BL123" s="328"/>
      <c r="BM123" s="328"/>
      <c r="BN123" s="328"/>
      <c r="BO123" s="328"/>
      <c r="BP123" s="282" t="e">
        <f>COUNTIFS(#REF!, "NONE")</f>
        <v>#REF!</v>
      </c>
      <c r="BQ123" s="283"/>
      <c r="BR123" s="283"/>
      <c r="BS123" s="283"/>
      <c r="BT123" s="284"/>
      <c r="BU123" s="272" t="e">
        <f>AI123+AT123+BE123+BP123</f>
        <v>#REF!</v>
      </c>
      <c r="BV123" s="272"/>
      <c r="BW123" s="272"/>
      <c r="BX123" s="272"/>
      <c r="BY123" s="272"/>
      <c r="BZ123" s="272"/>
      <c r="CA123" s="272"/>
      <c r="CB123" s="272"/>
      <c r="CC123" s="272"/>
      <c r="CD123" s="272"/>
      <c r="CE123" s="50"/>
      <c r="CU123" s="44"/>
      <c r="CV123" s="44"/>
      <c r="CW123" s="44"/>
      <c r="CX123" s="44"/>
      <c r="CY123" s="44"/>
    </row>
    <row r="124" spans="1:103" ht="30" customHeight="1" x14ac:dyDescent="0.25">
      <c r="A124" s="335" t="s">
        <v>321</v>
      </c>
      <c r="B124" s="336"/>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7"/>
      <c r="AC124" s="327" t="s">
        <v>407</v>
      </c>
      <c r="AD124" s="327"/>
      <c r="AE124" s="327"/>
      <c r="AF124" s="327"/>
      <c r="AG124" s="327"/>
      <c r="AH124" s="327"/>
      <c r="AI124" s="279" t="e">
        <f xml:space="preserve"> SUM(#REF!)</f>
        <v>#REF!</v>
      </c>
      <c r="AJ124" s="280"/>
      <c r="AK124" s="280"/>
      <c r="AL124" s="280"/>
      <c r="AM124" s="281"/>
      <c r="AN124" s="329"/>
      <c r="AO124" s="329"/>
      <c r="AP124" s="329"/>
      <c r="AQ124" s="329"/>
      <c r="AR124" s="329"/>
      <c r="AS124" s="329"/>
      <c r="AT124" s="264" t="e">
        <f>COUNTIFS(#REF!, "YES")</f>
        <v>#REF!</v>
      </c>
      <c r="AU124" s="265"/>
      <c r="AV124" s="265"/>
      <c r="AW124" s="265"/>
      <c r="AX124" s="266"/>
      <c r="AY124" s="329"/>
      <c r="AZ124" s="329"/>
      <c r="BA124" s="329"/>
      <c r="BB124" s="329"/>
      <c r="BC124" s="329"/>
      <c r="BD124" s="329"/>
      <c r="BE124" s="264" t="e">
        <f>COUNTIFS(#REF!, "YES")</f>
        <v>#REF!</v>
      </c>
      <c r="BF124" s="265"/>
      <c r="BG124" s="265"/>
      <c r="BH124" s="265"/>
      <c r="BI124" s="266"/>
      <c r="BJ124" s="329"/>
      <c r="BK124" s="329"/>
      <c r="BL124" s="329"/>
      <c r="BM124" s="329"/>
      <c r="BN124" s="329"/>
      <c r="BO124" s="329"/>
      <c r="BP124" s="264" t="e">
        <f>COUNTIFS(#REF!, "YES")</f>
        <v>#REF!</v>
      </c>
      <c r="BQ124" s="265"/>
      <c r="BR124" s="265"/>
      <c r="BS124" s="265"/>
      <c r="BT124" s="266"/>
      <c r="BU124" s="272" t="e">
        <f>AI124</f>
        <v>#REF!</v>
      </c>
      <c r="BV124" s="272"/>
      <c r="BW124" s="272"/>
      <c r="BX124" s="272"/>
      <c r="BY124" s="272"/>
      <c r="BZ124" s="272"/>
      <c r="CA124" s="272"/>
      <c r="CB124" s="272"/>
      <c r="CC124" s="272"/>
      <c r="CD124" s="272"/>
      <c r="CE124" s="50"/>
      <c r="CU124" s="44"/>
      <c r="CV124" s="44"/>
      <c r="CW124" s="44"/>
      <c r="CX124" s="44"/>
      <c r="CY124" s="44"/>
    </row>
    <row r="125" spans="1:103" ht="15" customHeight="1" x14ac:dyDescent="0.25">
      <c r="A125" s="25"/>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7"/>
      <c r="AC125" s="47"/>
      <c r="AD125" s="47"/>
      <c r="AE125" s="47"/>
      <c r="AF125" s="47"/>
      <c r="AG125" s="47"/>
      <c r="AH125" s="47"/>
      <c r="AI125" s="48"/>
      <c r="AJ125" s="49"/>
      <c r="AK125" s="49"/>
      <c r="AL125" s="49"/>
      <c r="AM125" s="50"/>
      <c r="AN125" s="47"/>
      <c r="AO125" s="47"/>
      <c r="AP125" s="47"/>
      <c r="AQ125" s="47"/>
      <c r="AR125" s="47"/>
      <c r="AS125" s="47"/>
      <c r="AT125" s="48"/>
      <c r="AU125" s="49"/>
      <c r="AV125" s="49"/>
      <c r="AW125" s="49"/>
      <c r="AX125" s="50"/>
      <c r="AY125" s="47"/>
      <c r="AZ125" s="47"/>
      <c r="BA125" s="47"/>
      <c r="BB125" s="47"/>
      <c r="BC125" s="47"/>
      <c r="BD125" s="47"/>
      <c r="BE125" s="48"/>
      <c r="BF125" s="49"/>
      <c r="BG125" s="49"/>
      <c r="BH125" s="49"/>
      <c r="BI125" s="50"/>
      <c r="BJ125" s="47"/>
      <c r="BK125" s="47"/>
      <c r="BL125" s="47"/>
      <c r="BM125" s="47"/>
      <c r="BN125" s="47"/>
      <c r="BO125" s="47"/>
      <c r="BP125" s="48"/>
      <c r="BQ125" s="49"/>
      <c r="BR125" s="49"/>
      <c r="BS125" s="49"/>
      <c r="BT125" s="50"/>
      <c r="BU125" s="47"/>
      <c r="BV125" s="47"/>
      <c r="BW125" s="47"/>
      <c r="BX125" s="47"/>
      <c r="BY125" s="47"/>
      <c r="BZ125" s="47"/>
      <c r="CA125" s="48"/>
      <c r="CB125" s="49"/>
      <c r="CC125" s="49"/>
      <c r="CD125" s="49"/>
      <c r="CE125" s="49"/>
      <c r="CF125" s="53"/>
      <c r="CG125" s="53"/>
      <c r="CH125" s="53"/>
      <c r="CI125" s="53"/>
      <c r="CJ125" s="53"/>
      <c r="CK125" s="53"/>
      <c r="CL125" s="53"/>
      <c r="CM125" s="53"/>
      <c r="CN125" s="53"/>
      <c r="CO125" s="53"/>
      <c r="CU125" s="44"/>
      <c r="CV125" s="44"/>
      <c r="CW125" s="44"/>
      <c r="CX125" s="44"/>
      <c r="CY125" s="44"/>
    </row>
    <row r="126" spans="1:103" ht="30" customHeight="1" x14ac:dyDescent="0.25">
      <c r="A126" s="338" t="s">
        <v>323</v>
      </c>
      <c r="B126" s="339"/>
      <c r="C126" s="339"/>
      <c r="D126" s="339"/>
      <c r="E126" s="339"/>
      <c r="F126" s="339"/>
      <c r="G126" s="339"/>
      <c r="H126" s="339"/>
      <c r="I126" s="339"/>
      <c r="J126" s="339"/>
      <c r="K126" s="339"/>
      <c r="L126" s="339"/>
      <c r="M126" s="339"/>
      <c r="N126" s="339"/>
      <c r="O126" s="339"/>
      <c r="P126" s="339"/>
      <c r="Q126" s="339"/>
      <c r="R126" s="339"/>
      <c r="S126" s="339"/>
      <c r="T126" s="339"/>
      <c r="U126" s="339"/>
      <c r="V126" s="339"/>
      <c r="W126" s="339"/>
      <c r="X126" s="339"/>
      <c r="Y126" s="339"/>
      <c r="Z126" s="339"/>
      <c r="AA126" s="339"/>
      <c r="AB126" s="340"/>
      <c r="AC126" s="328" t="s">
        <v>407</v>
      </c>
      <c r="AD126" s="328"/>
      <c r="AE126" s="328"/>
      <c r="AF126" s="328"/>
      <c r="AG126" s="328"/>
      <c r="AH126" s="328"/>
      <c r="AI126" s="349" t="e">
        <f xml:space="preserve"> SUM(#REF!)</f>
        <v>#REF!</v>
      </c>
      <c r="AJ126" s="350"/>
      <c r="AK126" s="350"/>
      <c r="AL126" s="350"/>
      <c r="AM126" s="351"/>
      <c r="AN126" s="267" t="s">
        <v>313</v>
      </c>
      <c r="AO126" s="268"/>
      <c r="AP126" s="268"/>
      <c r="AQ126" s="268"/>
      <c r="AR126" s="268"/>
      <c r="AS126" s="268"/>
      <c r="AT126" s="268"/>
      <c r="AU126" s="268"/>
      <c r="AV126" s="268"/>
      <c r="AW126" s="268"/>
      <c r="AX126" s="269"/>
      <c r="AY126" s="267" t="s">
        <v>305</v>
      </c>
      <c r="AZ126" s="268"/>
      <c r="BA126" s="268"/>
      <c r="BB126" s="268"/>
      <c r="BC126" s="268"/>
      <c r="BD126" s="268"/>
      <c r="BE126" s="268"/>
      <c r="BF126" s="268"/>
      <c r="BG126" s="268"/>
      <c r="BH126" s="268"/>
      <c r="BI126" s="269"/>
      <c r="BJ126" s="267" t="s">
        <v>306</v>
      </c>
      <c r="BK126" s="268"/>
      <c r="BL126" s="268"/>
      <c r="BM126" s="268"/>
      <c r="BN126" s="268"/>
      <c r="BO126" s="268"/>
      <c r="BP126" s="268"/>
      <c r="BQ126" s="268"/>
      <c r="BR126" s="268"/>
      <c r="BS126" s="268"/>
      <c r="BT126" s="269"/>
      <c r="BU126" s="267" t="s">
        <v>414</v>
      </c>
      <c r="BV126" s="268"/>
      <c r="BW126" s="268"/>
      <c r="BX126" s="268"/>
      <c r="BY126" s="268"/>
      <c r="BZ126" s="268"/>
      <c r="CA126" s="268"/>
      <c r="CB126" s="268"/>
      <c r="CC126" s="268"/>
      <c r="CD126" s="268"/>
      <c r="CE126" s="269"/>
      <c r="CF126" s="53"/>
      <c r="CG126" s="53"/>
      <c r="CH126" s="53"/>
      <c r="CI126" s="53"/>
      <c r="CJ126" s="53"/>
      <c r="CK126" s="53"/>
      <c r="CL126" s="53"/>
      <c r="CM126" s="53"/>
      <c r="CN126" s="53"/>
      <c r="CO126" s="53"/>
      <c r="CU126" s="45"/>
      <c r="CV126" s="45"/>
      <c r="CW126" s="45"/>
      <c r="CX126" s="45"/>
      <c r="CY126" s="45"/>
    </row>
    <row r="127" spans="1:103" ht="20.100000000000001" customHeight="1" x14ac:dyDescent="0.25">
      <c r="AN127" s="330" t="s">
        <v>125</v>
      </c>
      <c r="AO127" s="330"/>
      <c r="AP127" s="330"/>
      <c r="AQ127" s="330"/>
      <c r="AR127" s="330"/>
      <c r="AS127" s="330"/>
      <c r="AT127" s="288" t="e">
        <f>COUNTIFS(#REF!,"&gt;=0",#REF!, "&lt;=12")</f>
        <v>#REF!</v>
      </c>
      <c r="AU127" s="288"/>
      <c r="AV127" s="288"/>
      <c r="AW127" s="288"/>
      <c r="AX127" s="288"/>
      <c r="AY127" s="355" t="s">
        <v>31</v>
      </c>
      <c r="AZ127" s="331"/>
      <c r="BA127" s="331"/>
      <c r="BB127" s="331"/>
      <c r="BC127" s="331"/>
      <c r="BD127" s="331"/>
      <c r="BE127" s="288" t="e">
        <f>COUNTIFS(#REF!,"MALE")</f>
        <v>#REF!</v>
      </c>
      <c r="BF127" s="288"/>
      <c r="BG127" s="288"/>
      <c r="BH127" s="288"/>
      <c r="BI127" s="292"/>
      <c r="BJ127" s="285" t="s">
        <v>25</v>
      </c>
      <c r="BK127" s="285"/>
      <c r="BL127" s="285"/>
      <c r="BM127" s="285"/>
      <c r="BN127" s="285"/>
      <c r="BO127" s="285"/>
      <c r="BP127" s="288" t="e">
        <f>COUNTIFS(#REF!,"White")</f>
        <v>#REF!</v>
      </c>
      <c r="BQ127" s="288"/>
      <c r="BR127" s="288"/>
      <c r="BS127" s="288"/>
      <c r="BT127" s="288"/>
      <c r="BU127" s="331" t="s">
        <v>29</v>
      </c>
      <c r="BV127" s="331"/>
      <c r="BW127" s="331"/>
      <c r="BX127" s="331"/>
      <c r="BY127" s="331"/>
      <c r="BZ127" s="331"/>
      <c r="CA127" s="288" t="e">
        <f>COUNTIFS(#REF!,"Not Hispanic or Latino")</f>
        <v>#REF!</v>
      </c>
      <c r="CB127" s="288"/>
      <c r="CC127" s="288"/>
      <c r="CD127" s="288"/>
      <c r="CE127" s="288"/>
    </row>
    <row r="128" spans="1:103" ht="20.100000000000001" customHeight="1" x14ac:dyDescent="0.25">
      <c r="AN128" s="330" t="s">
        <v>126</v>
      </c>
      <c r="AO128" s="330"/>
      <c r="AP128" s="330"/>
      <c r="AQ128" s="330"/>
      <c r="AR128" s="330"/>
      <c r="AS128" s="330"/>
      <c r="AT128" s="288" t="e">
        <f>COUNTIFS(#REF!,"&gt;=13",#REF!, "&lt;=17")</f>
        <v>#REF!</v>
      </c>
      <c r="AU128" s="288"/>
      <c r="AV128" s="288"/>
      <c r="AW128" s="288"/>
      <c r="AX128" s="288"/>
      <c r="AY128" s="355" t="s">
        <v>32</v>
      </c>
      <c r="AZ128" s="331"/>
      <c r="BA128" s="331"/>
      <c r="BB128" s="331"/>
      <c r="BC128" s="331"/>
      <c r="BD128" s="331"/>
      <c r="BE128" s="288" t="e">
        <f>COUNTIFS(#REF!,"FEMALE")</f>
        <v>#REF!</v>
      </c>
      <c r="BF128" s="288"/>
      <c r="BG128" s="288"/>
      <c r="BH128" s="288"/>
      <c r="BI128" s="292"/>
      <c r="BJ128" s="285" t="s">
        <v>23</v>
      </c>
      <c r="BK128" s="285"/>
      <c r="BL128" s="285"/>
      <c r="BM128" s="285"/>
      <c r="BN128" s="285"/>
      <c r="BO128" s="285"/>
      <c r="BP128" s="288" t="e">
        <f>COUNTIFS(#REF!,"African American /Black")</f>
        <v>#REF!</v>
      </c>
      <c r="BQ128" s="288"/>
      <c r="BR128" s="288"/>
      <c r="BS128" s="288"/>
      <c r="BT128" s="288"/>
      <c r="BU128" s="331" t="s">
        <v>30</v>
      </c>
      <c r="BV128" s="331"/>
      <c r="BW128" s="331"/>
      <c r="BX128" s="331"/>
      <c r="BY128" s="331"/>
      <c r="BZ128" s="331"/>
      <c r="CA128" s="288" t="e">
        <f>COUNTIFS(#REF!,"Hispanic-Latino ")</f>
        <v>#REF!</v>
      </c>
      <c r="CB128" s="288"/>
      <c r="CC128" s="288"/>
      <c r="CD128" s="288"/>
      <c r="CE128" s="288"/>
    </row>
    <row r="129" spans="1:107" ht="20.100000000000001" customHeight="1" x14ac:dyDescent="0.25">
      <c r="AN129" s="330" t="s">
        <v>127</v>
      </c>
      <c r="AO129" s="330"/>
      <c r="AP129" s="330"/>
      <c r="AQ129" s="330"/>
      <c r="AR129" s="330"/>
      <c r="AS129" s="330"/>
      <c r="AT129" s="288" t="e">
        <f>COUNTIFS(#REF!,"&gt;=18",#REF!, "&lt;=20")</f>
        <v>#REF!</v>
      </c>
      <c r="AU129" s="288"/>
      <c r="AV129" s="288"/>
      <c r="AW129" s="288"/>
      <c r="AX129" s="288"/>
      <c r="BJ129" s="285" t="s">
        <v>27</v>
      </c>
      <c r="BK129" s="285"/>
      <c r="BL129" s="285"/>
      <c r="BM129" s="285"/>
      <c r="BN129" s="285"/>
      <c r="BO129" s="285"/>
      <c r="BP129" s="288" t="e">
        <f>COUNTIFS(#REF!,"Native Hawaiian / Other Pacific Islander")</f>
        <v>#REF!</v>
      </c>
      <c r="BQ129" s="288"/>
      <c r="BR129" s="288"/>
      <c r="BS129" s="288"/>
      <c r="BT129" s="288"/>
      <c r="BU129" s="331" t="s">
        <v>28</v>
      </c>
      <c r="BV129" s="331"/>
      <c r="BW129" s="331"/>
      <c r="BX129" s="331"/>
      <c r="BY129" s="331"/>
      <c r="BZ129" s="331"/>
      <c r="CA129" s="288" t="e">
        <f>COUNTIFS(#REF!,"Unknown")</f>
        <v>#REF!</v>
      </c>
      <c r="CB129" s="288"/>
      <c r="CC129" s="288"/>
      <c r="CD129" s="288"/>
      <c r="CE129" s="288"/>
    </row>
    <row r="130" spans="1:107" ht="20.100000000000001" customHeight="1" x14ac:dyDescent="0.25">
      <c r="AN130" s="330" t="s">
        <v>128</v>
      </c>
      <c r="AO130" s="330"/>
      <c r="AP130" s="330"/>
      <c r="AQ130" s="330"/>
      <c r="AR130" s="330"/>
      <c r="AS130" s="330"/>
      <c r="AT130" s="288" t="e">
        <f>COUNTIFS(#REF!,"&gt;=21",#REF!, "&lt;=24")</f>
        <v>#REF!</v>
      </c>
      <c r="AU130" s="288"/>
      <c r="AV130" s="288"/>
      <c r="AW130" s="288"/>
      <c r="AX130" s="288"/>
      <c r="BJ130" s="285" t="s">
        <v>271</v>
      </c>
      <c r="BK130" s="285"/>
      <c r="BL130" s="285"/>
      <c r="BM130" s="285"/>
      <c r="BN130" s="285"/>
      <c r="BO130" s="285"/>
      <c r="BP130" s="288" t="e">
        <f>COUNTIFS(#REF!,"Asian ")</f>
        <v>#REF!</v>
      </c>
      <c r="BQ130" s="288"/>
      <c r="BR130" s="288"/>
      <c r="BS130" s="288"/>
      <c r="BT130" s="288"/>
    </row>
    <row r="131" spans="1:107" ht="20.100000000000001" customHeight="1" x14ac:dyDescent="0.25">
      <c r="AN131" s="330" t="s">
        <v>129</v>
      </c>
      <c r="AO131" s="330"/>
      <c r="AP131" s="330"/>
      <c r="AQ131" s="330"/>
      <c r="AR131" s="330"/>
      <c r="AS131" s="330"/>
      <c r="AT131" s="288" t="e">
        <f>COUNTIFS(#REF!,"&gt;=25",#REF!, "&lt;=34")</f>
        <v>#REF!</v>
      </c>
      <c r="AU131" s="288"/>
      <c r="AV131" s="288"/>
      <c r="AW131" s="288"/>
      <c r="AX131" s="288"/>
      <c r="BJ131" s="285" t="s">
        <v>280</v>
      </c>
      <c r="BK131" s="285"/>
      <c r="BL131" s="285"/>
      <c r="BM131" s="285"/>
      <c r="BN131" s="285"/>
      <c r="BO131" s="285"/>
      <c r="BP131" s="288" t="e">
        <f>COUNTIFS(#REF!,"American Indian / Alaska Native")</f>
        <v>#REF!</v>
      </c>
      <c r="BQ131" s="288"/>
      <c r="BR131" s="288"/>
      <c r="BS131" s="288"/>
      <c r="BT131" s="288"/>
    </row>
    <row r="132" spans="1:107" ht="20.100000000000001" customHeight="1" x14ac:dyDescent="0.25">
      <c r="AN132" s="330" t="s">
        <v>130</v>
      </c>
      <c r="AO132" s="330"/>
      <c r="AP132" s="330"/>
      <c r="AQ132" s="330"/>
      <c r="AR132" s="330"/>
      <c r="AS132" s="330"/>
      <c r="AT132" s="288" t="e">
        <f>COUNTIFS(#REF!,"&gt;=35",#REF!, "&lt;=44")</f>
        <v>#REF!</v>
      </c>
      <c r="AU132" s="288"/>
      <c r="AV132" s="288"/>
      <c r="AW132" s="288"/>
      <c r="AX132" s="288"/>
      <c r="BJ132" s="285" t="s">
        <v>26</v>
      </c>
      <c r="BK132" s="285"/>
      <c r="BL132" s="285"/>
      <c r="BM132" s="285"/>
      <c r="BN132" s="285"/>
      <c r="BO132" s="285"/>
      <c r="BP132" s="288" t="e">
        <f>COUNTIFS(#REF!,"More than one race reported")</f>
        <v>#REF!</v>
      </c>
      <c r="BQ132" s="288"/>
      <c r="BR132" s="288"/>
      <c r="BS132" s="288"/>
      <c r="BT132" s="288"/>
    </row>
    <row r="133" spans="1:107" ht="20.100000000000001" customHeight="1" x14ac:dyDescent="0.25">
      <c r="AN133" s="330" t="s">
        <v>131</v>
      </c>
      <c r="AO133" s="330"/>
      <c r="AP133" s="330"/>
      <c r="AQ133" s="330"/>
      <c r="AR133" s="330"/>
      <c r="AS133" s="330"/>
      <c r="AT133" s="288" t="e">
        <f>COUNTIFS(#REF!,"&gt;=45",#REF!, "&lt;=54")</f>
        <v>#REF!</v>
      </c>
      <c r="AU133" s="288"/>
      <c r="AV133" s="288"/>
      <c r="AW133" s="288"/>
      <c r="AX133" s="288"/>
      <c r="BJ133" s="285" t="s">
        <v>28</v>
      </c>
      <c r="BK133" s="285"/>
      <c r="BL133" s="285"/>
      <c r="BM133" s="285"/>
      <c r="BN133" s="285"/>
      <c r="BO133" s="285"/>
      <c r="BP133" s="288" t="e">
        <f>COUNTIFS(#REF!,"Unknown")</f>
        <v>#REF!</v>
      </c>
      <c r="BQ133" s="288"/>
      <c r="BR133" s="288"/>
      <c r="BS133" s="288"/>
      <c r="BT133" s="288"/>
    </row>
    <row r="134" spans="1:107" ht="20.100000000000001" customHeight="1" x14ac:dyDescent="0.3">
      <c r="AN134" s="330" t="s">
        <v>132</v>
      </c>
      <c r="AO134" s="330"/>
      <c r="AP134" s="330"/>
      <c r="AQ134" s="330"/>
      <c r="AR134" s="330"/>
      <c r="AS134" s="330"/>
      <c r="AT134" s="288" t="e">
        <f>COUNTIFS(#REF!,"&gt;=55",#REF!, "&lt;=64")</f>
        <v>#REF!</v>
      </c>
      <c r="AU134" s="288"/>
      <c r="AV134" s="288"/>
      <c r="AW134" s="288"/>
      <c r="AX134" s="288"/>
      <c r="CH134" s="42"/>
      <c r="CI134" s="42"/>
      <c r="CJ134" s="42"/>
      <c r="CK134" s="42"/>
      <c r="CL134" s="42"/>
      <c r="CM134" s="42"/>
      <c r="CN134" s="42"/>
      <c r="CO134" s="42"/>
      <c r="CP134" s="42"/>
      <c r="CQ134" s="42"/>
      <c r="CR134" s="44"/>
      <c r="CS134" s="44"/>
      <c r="CT134" s="44"/>
      <c r="CU134" s="44"/>
      <c r="CV134" s="44"/>
      <c r="CW134" s="44"/>
      <c r="CX134" s="44"/>
      <c r="CY134" s="44"/>
      <c r="CZ134" s="44"/>
    </row>
    <row r="135" spans="1:107" ht="20.100000000000001" customHeight="1" x14ac:dyDescent="0.25">
      <c r="AN135" s="330" t="s">
        <v>133</v>
      </c>
      <c r="AO135" s="330"/>
      <c r="AP135" s="330"/>
      <c r="AQ135" s="330"/>
      <c r="AR135" s="330"/>
      <c r="AS135" s="330"/>
      <c r="AT135" s="288" t="e">
        <f>COUNTIFS(#REF!,"&gt;=65",#REF!, "&lt;=74")</f>
        <v>#REF!</v>
      </c>
      <c r="AU135" s="288"/>
      <c r="AV135" s="288"/>
      <c r="AW135" s="288"/>
      <c r="AX135" s="288"/>
      <c r="CH135" s="43"/>
      <c r="CI135" s="43"/>
      <c r="CJ135" s="43"/>
      <c r="CK135" s="43"/>
      <c r="CL135" s="43"/>
      <c r="CM135" s="43"/>
      <c r="CN135" s="43"/>
      <c r="CO135" s="43"/>
      <c r="CP135" s="43"/>
      <c r="CQ135" s="43"/>
      <c r="CR135" s="44"/>
      <c r="CS135" s="44"/>
      <c r="CT135" s="44"/>
      <c r="CU135" s="44"/>
      <c r="CV135" s="44"/>
      <c r="CW135" s="44"/>
      <c r="CX135" s="44"/>
      <c r="CY135" s="44"/>
      <c r="CZ135" s="44"/>
    </row>
    <row r="136" spans="1:107" ht="20.100000000000001" customHeight="1" x14ac:dyDescent="0.25">
      <c r="AN136" s="330" t="s">
        <v>134</v>
      </c>
      <c r="AO136" s="330"/>
      <c r="AP136" s="330"/>
      <c r="AQ136" s="330"/>
      <c r="AR136" s="330"/>
      <c r="AS136" s="330"/>
      <c r="AT136" s="288" t="e">
        <f>COUNTIFS(#REF!,"&gt;=75",#REF!, "&lt;=150")</f>
        <v>#REF!</v>
      </c>
      <c r="AU136" s="288"/>
      <c r="AV136" s="288"/>
      <c r="AW136" s="288"/>
      <c r="AX136" s="288"/>
      <c r="CH136" s="44"/>
      <c r="CI136" s="44"/>
      <c r="CJ136" s="44"/>
      <c r="CK136" s="44"/>
      <c r="CL136" s="44"/>
      <c r="CM136" s="44"/>
      <c r="CN136" s="44"/>
      <c r="CO136" s="44"/>
      <c r="CP136" s="44"/>
      <c r="CQ136" s="44"/>
      <c r="CR136" s="45"/>
      <c r="CS136" s="45"/>
      <c r="CT136" s="45"/>
      <c r="CU136" s="45"/>
      <c r="CV136" s="45"/>
      <c r="CW136" s="45"/>
      <c r="CX136" s="45"/>
      <c r="CY136" s="45"/>
      <c r="CZ136" s="45"/>
    </row>
    <row r="137" spans="1:107" ht="15.75" x14ac:dyDescent="0.25">
      <c r="AN137" s="270" t="s">
        <v>313</v>
      </c>
      <c r="AO137" s="270"/>
      <c r="AP137" s="270"/>
      <c r="AQ137" s="270"/>
      <c r="AR137" s="270"/>
      <c r="AS137" s="270"/>
      <c r="AT137" s="267" t="e">
        <f>SUM(AT127:AT136)</f>
        <v>#REF!</v>
      </c>
      <c r="AU137" s="268"/>
      <c r="AV137" s="268"/>
      <c r="AW137" s="268"/>
      <c r="AX137" s="269"/>
      <c r="AY137" s="270" t="s">
        <v>305</v>
      </c>
      <c r="AZ137" s="270"/>
      <c r="BA137" s="270"/>
      <c r="BB137" s="270"/>
      <c r="BC137" s="270"/>
      <c r="BD137" s="270"/>
      <c r="BE137" s="267" t="e">
        <f>SUM(BE127:BE136)</f>
        <v>#REF!</v>
      </c>
      <c r="BF137" s="268"/>
      <c r="BG137" s="268"/>
      <c r="BH137" s="268"/>
      <c r="BI137" s="269"/>
      <c r="BJ137" s="270" t="s">
        <v>306</v>
      </c>
      <c r="BK137" s="270"/>
      <c r="BL137" s="270"/>
      <c r="BM137" s="270"/>
      <c r="BN137" s="270"/>
      <c r="BO137" s="270"/>
      <c r="BP137" s="267" t="e">
        <f>SUM(BP127:BP136)</f>
        <v>#REF!</v>
      </c>
      <c r="BQ137" s="268"/>
      <c r="BR137" s="268"/>
      <c r="BS137" s="268"/>
      <c r="BT137" s="269"/>
      <c r="BU137" s="270" t="s">
        <v>414</v>
      </c>
      <c r="BV137" s="270"/>
      <c r="BW137" s="270"/>
      <c r="BX137" s="270"/>
      <c r="BY137" s="270"/>
      <c r="BZ137" s="270"/>
      <c r="CA137" s="267" t="e">
        <f>SUM(CA127:CA136)</f>
        <v>#REF!</v>
      </c>
      <c r="CB137" s="268"/>
      <c r="CC137" s="268"/>
      <c r="CD137" s="268"/>
      <c r="CE137" s="269"/>
      <c r="CH137" s="44"/>
      <c r="CI137" s="44"/>
      <c r="CJ137" s="44"/>
      <c r="CK137" s="44"/>
      <c r="CL137" s="44"/>
      <c r="CM137" s="44"/>
      <c r="CN137" s="44"/>
      <c r="CO137" s="44"/>
      <c r="CP137" s="44"/>
      <c r="CQ137" s="44"/>
    </row>
    <row r="138" spans="1:107" x14ac:dyDescent="0.25">
      <c r="CH138" s="44"/>
      <c r="CI138" s="44"/>
      <c r="CJ138" s="44"/>
      <c r="CK138" s="44"/>
      <c r="CL138" s="44"/>
      <c r="CM138" s="44"/>
      <c r="CN138" s="44"/>
      <c r="CO138" s="44"/>
      <c r="CP138" s="44"/>
      <c r="CQ138" s="44"/>
    </row>
    <row r="139" spans="1:107" x14ac:dyDescent="0.25">
      <c r="CH139" s="44"/>
      <c r="CI139" s="44"/>
      <c r="CJ139" s="44"/>
      <c r="CK139" s="44"/>
      <c r="CL139" s="44"/>
      <c r="CM139" s="44"/>
      <c r="CN139" s="44"/>
      <c r="CO139" s="44"/>
      <c r="CP139" s="44"/>
      <c r="CQ139" s="44"/>
    </row>
    <row r="140" spans="1:107" x14ac:dyDescent="0.25">
      <c r="CH140" s="45"/>
      <c r="CI140" s="45"/>
      <c r="CJ140" s="45"/>
      <c r="CK140" s="45"/>
      <c r="CL140" s="45"/>
      <c r="CM140" s="45"/>
      <c r="CN140" s="45"/>
      <c r="CO140" s="45"/>
      <c r="CP140" s="45"/>
      <c r="CQ140" s="45"/>
    </row>
    <row r="141" spans="1:107" ht="26.25" x14ac:dyDescent="0.4">
      <c r="A141" s="321" t="s">
        <v>422</v>
      </c>
      <c r="B141" s="321"/>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c r="AZ141" s="321"/>
      <c r="BA141" s="321"/>
      <c r="BB141" s="321"/>
      <c r="BC141" s="321"/>
      <c r="BD141" s="321"/>
      <c r="BE141" s="321"/>
      <c r="BF141" s="321"/>
      <c r="BG141" s="321"/>
      <c r="BH141" s="321"/>
      <c r="BI141" s="321"/>
      <c r="BJ141" s="321"/>
      <c r="BK141" s="321"/>
      <c r="BL141" s="321"/>
      <c r="BM141" s="321"/>
      <c r="BN141" s="321"/>
      <c r="BO141" s="321"/>
      <c r="BP141" s="321"/>
      <c r="BQ141" s="321"/>
      <c r="BR141" s="321"/>
      <c r="BS141" s="321"/>
      <c r="BT141" s="321"/>
      <c r="BU141" s="321"/>
      <c r="BV141" s="321"/>
      <c r="BW141" s="321"/>
      <c r="BX141" s="321"/>
      <c r="BY141" s="321"/>
      <c r="BZ141" s="321"/>
      <c r="CA141" s="321"/>
      <c r="CB141" s="321"/>
      <c r="CC141" s="321"/>
      <c r="CD141" s="321"/>
      <c r="CE141" s="321"/>
      <c r="CF141" s="321"/>
      <c r="CG141" s="321"/>
      <c r="CH141" s="321"/>
      <c r="CI141" s="321"/>
      <c r="CJ141" s="321"/>
      <c r="CK141" s="321"/>
      <c r="CL141" s="321"/>
      <c r="CM141" s="321"/>
      <c r="CN141" s="321"/>
      <c r="CO141" s="321"/>
      <c r="CP141" s="321"/>
      <c r="CQ141" s="321"/>
      <c r="CR141" s="321"/>
      <c r="CS141" s="321"/>
      <c r="CT141" s="321"/>
      <c r="CU141" s="321"/>
      <c r="CV141" s="321"/>
      <c r="CW141" s="57"/>
      <c r="CX141" s="57"/>
      <c r="CY141" s="57"/>
      <c r="CZ141" s="57"/>
      <c r="DA141" s="57"/>
      <c r="DB141" s="57"/>
      <c r="DC141" s="57"/>
    </row>
    <row r="142" spans="1:107" ht="30" customHeight="1" x14ac:dyDescent="0.25">
      <c r="A142" s="297" t="s">
        <v>431</v>
      </c>
      <c r="B142" s="297"/>
      <c r="C142" s="297"/>
      <c r="D142" s="297"/>
      <c r="E142" s="297" t="s">
        <v>430</v>
      </c>
      <c r="F142" s="297"/>
      <c r="G142" s="297"/>
      <c r="H142" s="297"/>
      <c r="I142" s="297"/>
      <c r="J142" s="504" t="s">
        <v>423</v>
      </c>
      <c r="K142" s="505"/>
      <c r="L142" s="505"/>
      <c r="M142" s="505"/>
      <c r="N142" s="505"/>
      <c r="O142" s="505"/>
      <c r="P142" s="505"/>
      <c r="Q142" s="505"/>
      <c r="R142" s="505"/>
      <c r="S142" s="505"/>
      <c r="T142" s="505"/>
      <c r="U142" s="505"/>
      <c r="V142" s="505"/>
      <c r="W142" s="505"/>
      <c r="X142" s="505"/>
      <c r="Y142" s="505"/>
      <c r="Z142" s="505"/>
      <c r="AA142" s="505"/>
      <c r="AB142" s="505"/>
      <c r="AC142" s="505"/>
      <c r="AD142" s="505"/>
      <c r="AE142" s="505"/>
      <c r="AF142" s="505"/>
      <c r="AG142" s="505"/>
      <c r="AH142" s="505"/>
      <c r="AI142" s="505"/>
      <c r="AJ142" s="505"/>
      <c r="AK142" s="505"/>
      <c r="AL142" s="505"/>
      <c r="AM142" s="505"/>
      <c r="AN142" s="505"/>
      <c r="AO142" s="505"/>
      <c r="AP142" s="506"/>
      <c r="AQ142" s="308" t="s">
        <v>35</v>
      </c>
      <c r="AR142" s="309"/>
      <c r="AS142" s="309"/>
      <c r="AT142" s="309"/>
      <c r="AU142" s="309"/>
      <c r="AV142" s="309"/>
      <c r="AW142" s="309"/>
      <c r="AX142" s="309"/>
      <c r="AY142" s="310"/>
      <c r="AZ142" s="307" t="s">
        <v>424</v>
      </c>
      <c r="BA142" s="307"/>
      <c r="BB142" s="307"/>
      <c r="BC142" s="307"/>
      <c r="BD142" s="307"/>
      <c r="BE142" s="307"/>
      <c r="BF142" s="307"/>
      <c r="BG142" s="307"/>
      <c r="BH142" s="307"/>
      <c r="BI142" s="307"/>
      <c r="BJ142" s="307"/>
      <c r="BK142" s="307"/>
      <c r="BL142" s="307"/>
      <c r="BM142" s="307"/>
      <c r="BN142" s="307"/>
      <c r="BO142" s="307"/>
      <c r="BP142" s="307"/>
      <c r="BQ142" s="307"/>
      <c r="BR142" s="307"/>
      <c r="BS142" s="307"/>
      <c r="BT142" s="307"/>
      <c r="BU142" s="307"/>
      <c r="BV142" s="307"/>
      <c r="BW142" s="307"/>
      <c r="BX142" s="307"/>
      <c r="BY142" s="307"/>
      <c r="BZ142" s="307"/>
      <c r="CA142" s="307"/>
      <c r="CB142" s="307"/>
      <c r="CC142" s="307"/>
      <c r="CD142" s="307"/>
      <c r="CE142" s="307"/>
      <c r="CF142" s="307"/>
      <c r="CG142" s="307"/>
      <c r="CH142" s="307"/>
      <c r="CI142" s="307"/>
      <c r="CJ142" s="307"/>
      <c r="CK142" s="307"/>
      <c r="CL142" s="293" t="s">
        <v>429</v>
      </c>
      <c r="CM142" s="293"/>
      <c r="CN142" s="293"/>
      <c r="CO142" s="293"/>
      <c r="CP142" s="293"/>
      <c r="CQ142" s="293"/>
      <c r="CR142" s="293"/>
      <c r="CS142" s="293"/>
      <c r="CT142" s="293"/>
      <c r="CU142" s="293"/>
      <c r="CV142" s="293"/>
      <c r="CW142" s="293"/>
      <c r="CX142" s="293"/>
      <c r="CY142" s="293"/>
      <c r="CZ142" s="293"/>
      <c r="DA142" s="293"/>
      <c r="DB142" s="293"/>
      <c r="DC142" s="293"/>
    </row>
    <row r="143" spans="1:107" ht="39.950000000000003" customHeight="1" x14ac:dyDescent="0.25">
      <c r="A143" s="298" t="e">
        <f>COUNTIFS(#REF!,"&gt;=07/01/2010",#REF!, "&lt;=09/30/2021")</f>
        <v>#REF!</v>
      </c>
      <c r="B143" s="299"/>
      <c r="C143" s="299"/>
      <c r="D143" s="300"/>
      <c r="E143" s="298" t="e">
        <f>SUM(#REF!)</f>
        <v>#REF!</v>
      </c>
      <c r="F143" s="299"/>
      <c r="G143" s="299"/>
      <c r="H143" s="299"/>
      <c r="I143" s="300"/>
      <c r="J143" s="317" t="s">
        <v>125</v>
      </c>
      <c r="K143" s="317"/>
      <c r="L143" s="317"/>
      <c r="M143" s="318" t="s">
        <v>126</v>
      </c>
      <c r="N143" s="318"/>
      <c r="O143" s="318"/>
      <c r="P143" s="317" t="s">
        <v>127</v>
      </c>
      <c r="Q143" s="317"/>
      <c r="R143" s="317"/>
      <c r="S143" s="318" t="s">
        <v>128</v>
      </c>
      <c r="T143" s="318"/>
      <c r="U143" s="318"/>
      <c r="V143" s="317" t="s">
        <v>129</v>
      </c>
      <c r="W143" s="317"/>
      <c r="X143" s="317"/>
      <c r="Y143" s="318" t="s">
        <v>130</v>
      </c>
      <c r="Z143" s="318"/>
      <c r="AA143" s="318"/>
      <c r="AB143" s="317" t="s">
        <v>131</v>
      </c>
      <c r="AC143" s="317"/>
      <c r="AD143" s="317"/>
      <c r="AE143" s="318" t="s">
        <v>132</v>
      </c>
      <c r="AF143" s="318"/>
      <c r="AG143" s="318"/>
      <c r="AH143" s="317" t="s">
        <v>133</v>
      </c>
      <c r="AI143" s="317"/>
      <c r="AJ143" s="317"/>
      <c r="AK143" s="318" t="s">
        <v>134</v>
      </c>
      <c r="AL143" s="318"/>
      <c r="AM143" s="318"/>
      <c r="AN143" s="314" t="s">
        <v>123</v>
      </c>
      <c r="AO143" s="315"/>
      <c r="AP143" s="316"/>
      <c r="AQ143" s="322" t="s">
        <v>31</v>
      </c>
      <c r="AR143" s="322"/>
      <c r="AS143" s="322"/>
      <c r="AT143" s="521" t="s">
        <v>32</v>
      </c>
      <c r="AU143" s="521"/>
      <c r="AV143" s="521"/>
      <c r="AW143" s="311" t="s">
        <v>136</v>
      </c>
      <c r="AX143" s="312"/>
      <c r="AY143" s="313"/>
      <c r="AZ143" s="291" t="s">
        <v>25</v>
      </c>
      <c r="BA143" s="291"/>
      <c r="BB143" s="291"/>
      <c r="BC143" s="291"/>
      <c r="BD143" s="291"/>
      <c r="BE143" s="319" t="s">
        <v>23</v>
      </c>
      <c r="BF143" s="319"/>
      <c r="BG143" s="319"/>
      <c r="BH143" s="319"/>
      <c r="BI143" s="319"/>
      <c r="BJ143" s="291" t="s">
        <v>27</v>
      </c>
      <c r="BK143" s="291"/>
      <c r="BL143" s="291"/>
      <c r="BM143" s="291"/>
      <c r="BN143" s="291"/>
      <c r="BO143" s="319" t="s">
        <v>271</v>
      </c>
      <c r="BP143" s="319"/>
      <c r="BQ143" s="319"/>
      <c r="BR143" s="319"/>
      <c r="BS143" s="319"/>
      <c r="BT143" s="291" t="s">
        <v>280</v>
      </c>
      <c r="BU143" s="291"/>
      <c r="BV143" s="291"/>
      <c r="BW143" s="291"/>
      <c r="BX143" s="291"/>
      <c r="BY143" s="319" t="s">
        <v>26</v>
      </c>
      <c r="BZ143" s="319"/>
      <c r="CA143" s="319"/>
      <c r="CB143" s="319"/>
      <c r="CC143" s="319"/>
      <c r="CD143" s="291" t="s">
        <v>28</v>
      </c>
      <c r="CE143" s="291"/>
      <c r="CF143" s="291"/>
      <c r="CG143" s="291"/>
      <c r="CH143" s="291"/>
      <c r="CI143" s="323" t="s">
        <v>136</v>
      </c>
      <c r="CJ143" s="323"/>
      <c r="CK143" s="323"/>
      <c r="CL143" s="302" t="s">
        <v>29</v>
      </c>
      <c r="CM143" s="302"/>
      <c r="CN143" s="302"/>
      <c r="CO143" s="302"/>
      <c r="CP143" s="302"/>
      <c r="CQ143" s="303" t="s">
        <v>30</v>
      </c>
      <c r="CR143" s="303"/>
      <c r="CS143" s="303"/>
      <c r="CT143" s="303"/>
      <c r="CU143" s="303"/>
      <c r="CV143" s="302" t="s">
        <v>28</v>
      </c>
      <c r="CW143" s="302"/>
      <c r="CX143" s="302"/>
      <c r="CY143" s="302"/>
      <c r="CZ143" s="302"/>
      <c r="DA143" s="294" t="s">
        <v>136</v>
      </c>
      <c r="DB143" s="295"/>
      <c r="DC143" s="296"/>
    </row>
    <row r="144" spans="1:107" ht="30" customHeight="1" x14ac:dyDescent="0.25">
      <c r="A144" s="301"/>
      <c r="B144" s="301"/>
      <c r="C144" s="301"/>
      <c r="D144" s="301"/>
      <c r="E144" s="301"/>
      <c r="F144" s="301"/>
      <c r="G144" s="301"/>
      <c r="H144" s="301"/>
      <c r="I144" s="301"/>
      <c r="J144" s="306" t="e">
        <f>COUNTIFS(#REF!,"&gt;=0",#REF!, "&lt;=12")</f>
        <v>#REF!</v>
      </c>
      <c r="K144" s="306"/>
      <c r="L144" s="306"/>
      <c r="M144" s="287" t="e">
        <f>COUNTIFS(#REF!,"&gt;=13",#REF!, "&lt;=17")</f>
        <v>#REF!</v>
      </c>
      <c r="N144" s="287"/>
      <c r="O144" s="287"/>
      <c r="P144" s="306" t="e">
        <f>COUNTIFS(#REF!,"&gt;=18",#REF!, "&lt;=20")</f>
        <v>#REF!</v>
      </c>
      <c r="Q144" s="306"/>
      <c r="R144" s="306"/>
      <c r="S144" s="287" t="e">
        <f>COUNTIFS(#REF!,"&gt;=21",#REF!, "&lt;=24")</f>
        <v>#REF!</v>
      </c>
      <c r="T144" s="287"/>
      <c r="U144" s="287"/>
      <c r="V144" s="306" t="e">
        <f>COUNTIFS(#REF!,"&gt;=25",#REF!, "&lt;=34")</f>
        <v>#REF!</v>
      </c>
      <c r="W144" s="306"/>
      <c r="X144" s="306"/>
      <c r="Y144" s="287" t="e">
        <f>COUNTIFS(#REF!,"&gt;=35",#REF!, "&lt;=44")</f>
        <v>#REF!</v>
      </c>
      <c r="Z144" s="287"/>
      <c r="AA144" s="287"/>
      <c r="AB144" s="306" t="e">
        <f>COUNTIFS(#REF!,"&gt;=45",#REF!, "&lt;=54")</f>
        <v>#REF!</v>
      </c>
      <c r="AC144" s="306"/>
      <c r="AD144" s="306"/>
      <c r="AE144" s="287" t="e">
        <f>COUNTIFS(#REF!,"&gt;=55",#REF!, "&lt;=64")</f>
        <v>#REF!</v>
      </c>
      <c r="AF144" s="287"/>
      <c r="AG144" s="287"/>
      <c r="AH144" s="306" t="e">
        <f>COUNTIFS(#REF!,"&gt;=65",#REF!, "&lt;=74")</f>
        <v>#REF!</v>
      </c>
      <c r="AI144" s="306"/>
      <c r="AJ144" s="306"/>
      <c r="AK144" s="287" t="e">
        <f>COUNTIFS(#REF!,"&gt;=75",#REF!, "&lt;=150")</f>
        <v>#REF!</v>
      </c>
      <c r="AL144" s="287"/>
      <c r="AM144" s="287"/>
      <c r="AN144" s="314" t="e">
        <f>SUM(J144:AM144)</f>
        <v>#REF!</v>
      </c>
      <c r="AO144" s="315"/>
      <c r="AP144" s="316"/>
      <c r="AQ144" s="286" t="e">
        <f>COUNTIFS(#REF!,"Male")</f>
        <v>#REF!</v>
      </c>
      <c r="AR144" s="286"/>
      <c r="AS144" s="286"/>
      <c r="AT144" s="320" t="e">
        <f>COUNTIFS(#REF!,"Female")</f>
        <v>#REF!</v>
      </c>
      <c r="AU144" s="320"/>
      <c r="AV144" s="320"/>
      <c r="AW144" s="311" t="e">
        <f>SUM(AQ144:AV144)</f>
        <v>#REF!</v>
      </c>
      <c r="AX144" s="312"/>
      <c r="AY144" s="313"/>
      <c r="AZ144" s="289" t="e">
        <f>COUNTIFS(#REF!,"White")</f>
        <v>#REF!</v>
      </c>
      <c r="BA144" s="289"/>
      <c r="BB144" s="289"/>
      <c r="BC144" s="289"/>
      <c r="BD144" s="289"/>
      <c r="BE144" s="290" t="e">
        <f>COUNTIFS(#REF!,"African American /Black")</f>
        <v>#REF!</v>
      </c>
      <c r="BF144" s="290"/>
      <c r="BG144" s="290"/>
      <c r="BH144" s="290"/>
      <c r="BI144" s="290"/>
      <c r="BJ144" s="289" t="e">
        <f>COUNTIFS(#REF!,"Native Hawaiian / Other Pacific Islander")</f>
        <v>#REF!</v>
      </c>
      <c r="BK144" s="289"/>
      <c r="BL144" s="289"/>
      <c r="BM144" s="289"/>
      <c r="BN144" s="289"/>
      <c r="BO144" s="290" t="e">
        <f>COUNTIFS(#REF!,"Asian ")</f>
        <v>#REF!</v>
      </c>
      <c r="BP144" s="290"/>
      <c r="BQ144" s="290"/>
      <c r="BR144" s="290"/>
      <c r="BS144" s="290"/>
      <c r="BT144" s="289" t="e">
        <f>COUNTIFS(#REF!,"American Indian / Alaska Native")</f>
        <v>#REF!</v>
      </c>
      <c r="BU144" s="289"/>
      <c r="BV144" s="289"/>
      <c r="BW144" s="289"/>
      <c r="BX144" s="289"/>
      <c r="BY144" s="290" t="e">
        <f>COUNTIFS(#REF!,"More than one race reported")</f>
        <v>#REF!</v>
      </c>
      <c r="BZ144" s="290"/>
      <c r="CA144" s="290"/>
      <c r="CB144" s="290"/>
      <c r="CC144" s="290"/>
      <c r="CD144" s="289" t="e">
        <f>COUNTIFS(#REF!,"Unknown")</f>
        <v>#REF!</v>
      </c>
      <c r="CE144" s="289"/>
      <c r="CF144" s="289"/>
      <c r="CG144" s="289"/>
      <c r="CH144" s="289"/>
      <c r="CI144" s="323" t="e">
        <f>SUM(AY144:CH144)</f>
        <v>#REF!</v>
      </c>
      <c r="CJ144" s="323"/>
      <c r="CK144" s="323"/>
      <c r="CL144" s="304" t="e">
        <f>COUNTIFS(#REF!,"Not Hispanic or Latino")</f>
        <v>#REF!</v>
      </c>
      <c r="CM144" s="304"/>
      <c r="CN144" s="304"/>
      <c r="CO144" s="304"/>
      <c r="CP144" s="304"/>
      <c r="CQ144" s="305" t="e">
        <f>COUNTIFS(#REF!,"Hispanic-Latino ")</f>
        <v>#REF!</v>
      </c>
      <c r="CR144" s="305"/>
      <c r="CS144" s="305"/>
      <c r="CT144" s="305"/>
      <c r="CU144" s="305"/>
      <c r="CV144" s="304" t="e">
        <f>COUNTIFS(#REF!,"Unknown")</f>
        <v>#REF!</v>
      </c>
      <c r="CW144" s="304"/>
      <c r="CX144" s="304"/>
      <c r="CY144" s="304"/>
      <c r="CZ144" s="304"/>
      <c r="DA144" s="294" t="e">
        <f>SUM(CL144:CZ144)</f>
        <v>#REF!</v>
      </c>
      <c r="DB144" s="295"/>
      <c r="DC144" s="296"/>
    </row>
    <row r="146" spans="1:100" ht="30" customHeight="1" x14ac:dyDescent="0.25">
      <c r="A146" s="515" t="s">
        <v>432</v>
      </c>
      <c r="B146" s="515"/>
      <c r="C146" s="515"/>
      <c r="D146" s="515"/>
      <c r="E146" s="515"/>
      <c r="F146" s="515"/>
      <c r="G146" s="515"/>
      <c r="H146" s="515"/>
      <c r="I146" s="515"/>
      <c r="J146" s="515"/>
      <c r="K146" s="515"/>
      <c r="L146" s="515"/>
      <c r="M146" s="515"/>
      <c r="N146" s="515"/>
      <c r="O146" s="515"/>
      <c r="P146" s="515"/>
      <c r="Q146" s="515"/>
      <c r="R146" s="515"/>
      <c r="S146" s="515"/>
      <c r="T146" s="515"/>
      <c r="U146" s="515"/>
      <c r="V146" s="515"/>
      <c r="W146" s="516" t="e">
        <f>COUNTIFS(#REF!,"YES")</f>
        <v>#REF!</v>
      </c>
      <c r="X146" s="517"/>
      <c r="Y146" s="517"/>
      <c r="Z146" s="517"/>
      <c r="AA146" s="517"/>
      <c r="AB146" s="517"/>
      <c r="AC146" s="517"/>
      <c r="AD146" s="517"/>
      <c r="AE146" s="517"/>
      <c r="AF146" s="517"/>
      <c r="AG146" s="518"/>
    </row>
    <row r="147" spans="1:100" ht="30" customHeight="1" x14ac:dyDescent="0.25">
      <c r="A147" s="519" t="s">
        <v>434</v>
      </c>
      <c r="B147" s="519"/>
      <c r="C147" s="519"/>
      <c r="D147" s="519"/>
      <c r="E147" s="519"/>
      <c r="F147" s="519"/>
      <c r="G147" s="519"/>
      <c r="H147" s="519"/>
      <c r="I147" s="519"/>
      <c r="J147" s="519"/>
      <c r="K147" s="519"/>
      <c r="L147" s="519"/>
      <c r="M147" s="519"/>
      <c r="N147" s="519"/>
      <c r="O147" s="519"/>
      <c r="P147" s="519"/>
      <c r="Q147" s="519"/>
      <c r="R147" s="519"/>
      <c r="S147" s="519"/>
      <c r="T147" s="519"/>
      <c r="U147" s="519"/>
      <c r="V147" s="519"/>
      <c r="W147" s="516" t="e">
        <f>COUNTIFS(#REF!,"YES")</f>
        <v>#REF!</v>
      </c>
      <c r="X147" s="517"/>
      <c r="Y147" s="517"/>
      <c r="Z147" s="517"/>
      <c r="AA147" s="517"/>
      <c r="AB147" s="517"/>
      <c r="AC147" s="517"/>
      <c r="AD147" s="517"/>
      <c r="AE147" s="517"/>
      <c r="AF147" s="517"/>
      <c r="AG147" s="518"/>
    </row>
    <row r="149" spans="1:100" ht="26.25" x14ac:dyDescent="0.4">
      <c r="A149" s="507" t="s">
        <v>425</v>
      </c>
      <c r="B149" s="507"/>
      <c r="C149" s="507"/>
      <c r="D149" s="507"/>
      <c r="E149" s="507"/>
      <c r="F149" s="507"/>
      <c r="G149" s="507"/>
      <c r="H149" s="507"/>
      <c r="I149" s="507"/>
      <c r="J149" s="507"/>
      <c r="K149" s="507"/>
      <c r="L149" s="507"/>
      <c r="M149" s="507"/>
      <c r="N149" s="507"/>
      <c r="O149" s="507"/>
      <c r="P149" s="507"/>
      <c r="Q149" s="507"/>
      <c r="R149" s="507"/>
      <c r="S149" s="507"/>
      <c r="T149" s="507"/>
      <c r="U149" s="507"/>
      <c r="V149" s="507"/>
      <c r="W149" s="507"/>
      <c r="X149" s="507"/>
      <c r="Y149" s="507"/>
      <c r="Z149" s="507"/>
      <c r="AA149" s="507"/>
      <c r="AB149" s="507"/>
      <c r="AC149" s="507"/>
      <c r="AD149" s="507"/>
      <c r="AE149" s="507"/>
      <c r="AF149" s="507"/>
      <c r="AG149" s="507"/>
      <c r="AH149" s="507"/>
      <c r="AI149" s="507"/>
      <c r="AJ149" s="507"/>
      <c r="AK149" s="507"/>
      <c r="AL149" s="507"/>
      <c r="AM149" s="507"/>
      <c r="AN149" s="507"/>
      <c r="AO149" s="507"/>
      <c r="AP149" s="507"/>
      <c r="AQ149" s="507"/>
      <c r="AR149" s="507"/>
      <c r="AS149" s="507"/>
      <c r="AT149" s="507"/>
      <c r="AU149" s="507"/>
      <c r="AV149" s="507"/>
      <c r="AW149" s="507"/>
      <c r="AX149" s="507"/>
      <c r="AY149" s="507"/>
      <c r="AZ149" s="507"/>
      <c r="BA149" s="507"/>
      <c r="BB149" s="507"/>
      <c r="BC149" s="507"/>
      <c r="BD149" s="507"/>
      <c r="BE149" s="507"/>
      <c r="BF149" s="507"/>
      <c r="BG149" s="507"/>
      <c r="BH149" s="507"/>
      <c r="BI149" s="507"/>
      <c r="BJ149" s="507"/>
      <c r="BK149" s="507"/>
      <c r="BL149" s="507"/>
      <c r="BM149" s="507"/>
      <c r="BN149" s="507"/>
      <c r="BO149" s="507"/>
      <c r="BP149" s="507"/>
      <c r="BQ149" s="507"/>
      <c r="BR149" s="507"/>
      <c r="BS149" s="507"/>
      <c r="BT149" s="507"/>
      <c r="BU149" s="507"/>
      <c r="BV149" s="507"/>
      <c r="BW149" s="507"/>
      <c r="BX149" s="507"/>
      <c r="BY149" s="507"/>
      <c r="BZ149" s="507"/>
      <c r="CA149" s="507"/>
      <c r="CB149" s="507"/>
      <c r="CC149" s="507"/>
      <c r="CD149" s="507"/>
      <c r="CE149" s="507"/>
      <c r="CF149" s="507"/>
      <c r="CG149" s="507"/>
      <c r="CH149" s="507"/>
      <c r="CI149" s="507"/>
      <c r="CJ149" s="507"/>
      <c r="CK149" s="507"/>
      <c r="CL149" s="507"/>
      <c r="CM149" s="507"/>
      <c r="CN149" s="507"/>
      <c r="CO149" s="507"/>
      <c r="CP149" s="507"/>
      <c r="CQ149" s="507"/>
      <c r="CR149" s="507"/>
      <c r="CS149" s="507"/>
      <c r="CT149" s="507"/>
      <c r="CU149" s="507"/>
      <c r="CV149" s="507"/>
    </row>
    <row r="151" spans="1:100" ht="30" customHeight="1" x14ac:dyDescent="0.25">
      <c r="A151" s="508" t="s">
        <v>425</v>
      </c>
      <c r="B151" s="508"/>
      <c r="C151" s="508"/>
      <c r="D151" s="508"/>
      <c r="E151" s="508"/>
      <c r="F151" s="508"/>
      <c r="G151" s="508"/>
      <c r="H151" s="508"/>
      <c r="I151" s="508"/>
      <c r="J151" s="508"/>
      <c r="K151" s="508"/>
      <c r="L151" s="508"/>
      <c r="M151" s="508"/>
      <c r="N151" s="508"/>
      <c r="O151" s="508"/>
      <c r="P151" s="508"/>
      <c r="Q151" s="508"/>
      <c r="R151" s="508"/>
      <c r="S151" s="508"/>
      <c r="T151" s="508"/>
      <c r="U151" s="508"/>
      <c r="V151" s="508"/>
      <c r="W151" s="98" t="s">
        <v>436</v>
      </c>
      <c r="X151" s="520"/>
      <c r="Y151" s="520"/>
      <c r="Z151" s="520"/>
      <c r="AA151" s="520"/>
      <c r="AB151" s="520"/>
      <c r="AC151" s="520"/>
      <c r="AD151" s="520"/>
      <c r="AE151" s="520"/>
      <c r="AF151" s="520"/>
      <c r="AG151" s="99"/>
      <c r="AH151" s="98" t="s">
        <v>435</v>
      </c>
      <c r="AI151" s="520"/>
      <c r="AJ151" s="520"/>
      <c r="AK151" s="520"/>
      <c r="AL151" s="520"/>
      <c r="AM151" s="520"/>
      <c r="AN151" s="520"/>
      <c r="AO151" s="520"/>
      <c r="AP151" s="520"/>
      <c r="AQ151" s="520"/>
      <c r="AR151" s="99"/>
      <c r="AS151" s="98" t="s">
        <v>464</v>
      </c>
      <c r="AT151" s="520"/>
      <c r="AU151" s="520"/>
      <c r="AV151" s="520"/>
      <c r="AW151" s="520"/>
      <c r="AX151" s="520"/>
      <c r="AY151" s="520"/>
      <c r="AZ151" s="520"/>
      <c r="BA151" s="520"/>
      <c r="BB151" s="520"/>
      <c r="BC151" s="99"/>
    </row>
    <row r="152" spans="1:100" x14ac:dyDescent="0.25">
      <c r="A152" s="480" t="s">
        <v>176</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501" t="e">
        <f>COUNTIF(#REF!,"Mandatory")</f>
        <v>#REF!</v>
      </c>
      <c r="X152" s="502"/>
      <c r="Y152" s="502"/>
      <c r="Z152" s="502"/>
      <c r="AA152" s="502"/>
      <c r="AB152" s="502"/>
      <c r="AC152" s="502"/>
      <c r="AD152" s="502"/>
      <c r="AE152" s="502"/>
      <c r="AF152" s="502"/>
      <c r="AG152" s="503"/>
      <c r="AH152" s="490" t="e">
        <f>COUNTIFS(#REF!,"Mandatory",#REF!,"YES")</f>
        <v>#REF!</v>
      </c>
      <c r="AI152" s="491"/>
      <c r="AJ152" s="491"/>
      <c r="AK152" s="491"/>
      <c r="AL152" s="491"/>
      <c r="AM152" s="491"/>
      <c r="AN152" s="491"/>
      <c r="AO152" s="491"/>
      <c r="AP152" s="491"/>
      <c r="AQ152" s="491"/>
      <c r="AR152" s="492"/>
      <c r="AS152" s="490" t="e">
        <f>COUNTIFS(#REF!,"Mandatory",#REF!,"YES")</f>
        <v>#REF!</v>
      </c>
      <c r="AT152" s="491"/>
      <c r="AU152" s="491"/>
      <c r="AV152" s="491"/>
      <c r="AW152" s="491"/>
      <c r="AX152" s="491"/>
      <c r="AY152" s="491"/>
      <c r="AZ152" s="491"/>
      <c r="BA152" s="491"/>
      <c r="BB152" s="491"/>
      <c r="BC152" s="492"/>
    </row>
    <row r="153" spans="1:100" x14ac:dyDescent="0.25">
      <c r="A153" s="480" t="s">
        <v>426</v>
      </c>
      <c r="B153" s="480"/>
      <c r="C153" s="480"/>
      <c r="D153" s="480"/>
      <c r="E153" s="480"/>
      <c r="F153" s="480"/>
      <c r="G153" s="480"/>
      <c r="H153" s="480"/>
      <c r="I153" s="480"/>
      <c r="J153" s="480"/>
      <c r="K153" s="480"/>
      <c r="L153" s="480"/>
      <c r="M153" s="480"/>
      <c r="N153" s="480"/>
      <c r="O153" s="480"/>
      <c r="P153" s="480"/>
      <c r="Q153" s="480"/>
      <c r="R153" s="480"/>
      <c r="S153" s="480"/>
      <c r="T153" s="480"/>
      <c r="U153" s="480"/>
      <c r="V153" s="480"/>
      <c r="W153" s="501" t="e">
        <f>COUNTIF(#REF!,"Evidence Based Training (EBT)")</f>
        <v>#REF!</v>
      </c>
      <c r="X153" s="502"/>
      <c r="Y153" s="502"/>
      <c r="Z153" s="502"/>
      <c r="AA153" s="502"/>
      <c r="AB153" s="502"/>
      <c r="AC153" s="502"/>
      <c r="AD153" s="502"/>
      <c r="AE153" s="502"/>
      <c r="AF153" s="502"/>
      <c r="AG153" s="503"/>
      <c r="AH153" s="490" t="e">
        <f>COUNTIFS(#REF!,"Evidence Based Training (EBT)",#REF!,"YES")</f>
        <v>#REF!</v>
      </c>
      <c r="AI153" s="491"/>
      <c r="AJ153" s="491"/>
      <c r="AK153" s="491"/>
      <c r="AL153" s="491"/>
      <c r="AM153" s="491"/>
      <c r="AN153" s="491"/>
      <c r="AO153" s="491"/>
      <c r="AP153" s="491"/>
      <c r="AQ153" s="491"/>
      <c r="AR153" s="492"/>
      <c r="AS153" s="490" t="e">
        <f>COUNTIFS(#REF!,"Evidence Based Training (EBT)",#REF!,"YES")</f>
        <v>#REF!</v>
      </c>
      <c r="AT153" s="491"/>
      <c r="AU153" s="491"/>
      <c r="AV153" s="491"/>
      <c r="AW153" s="491"/>
      <c r="AX153" s="491"/>
      <c r="AY153" s="491"/>
      <c r="AZ153" s="491"/>
      <c r="BA153" s="491"/>
      <c r="BB153" s="491"/>
      <c r="BC153" s="492"/>
    </row>
    <row r="154" spans="1:100" x14ac:dyDescent="0.25">
      <c r="A154" s="480" t="s">
        <v>427</v>
      </c>
      <c r="B154" s="480"/>
      <c r="C154" s="480"/>
      <c r="D154" s="480"/>
      <c r="E154" s="480"/>
      <c r="F154" s="480"/>
      <c r="G154" s="480"/>
      <c r="H154" s="480"/>
      <c r="I154" s="480"/>
      <c r="J154" s="480"/>
      <c r="K154" s="480"/>
      <c r="L154" s="480"/>
      <c r="M154" s="480"/>
      <c r="N154" s="480"/>
      <c r="O154" s="480"/>
      <c r="P154" s="480"/>
      <c r="Q154" s="480"/>
      <c r="R154" s="480"/>
      <c r="S154" s="480"/>
      <c r="T154" s="480"/>
      <c r="U154" s="480"/>
      <c r="V154" s="480"/>
      <c r="W154" s="501" t="e">
        <f>COUNTIF(#REF!,"Both Mandatory and EBT")</f>
        <v>#REF!</v>
      </c>
      <c r="X154" s="502"/>
      <c r="Y154" s="502"/>
      <c r="Z154" s="502"/>
      <c r="AA154" s="502"/>
      <c r="AB154" s="502"/>
      <c r="AC154" s="502"/>
      <c r="AD154" s="502"/>
      <c r="AE154" s="502"/>
      <c r="AF154" s="502"/>
      <c r="AG154" s="503"/>
      <c r="AH154" s="490" t="e">
        <f>COUNTIFS(#REF!,"Both Mandatory and EBT",#REF!,"YES")</f>
        <v>#REF!</v>
      </c>
      <c r="AI154" s="491"/>
      <c r="AJ154" s="491"/>
      <c r="AK154" s="491"/>
      <c r="AL154" s="491"/>
      <c r="AM154" s="491"/>
      <c r="AN154" s="491"/>
      <c r="AO154" s="491"/>
      <c r="AP154" s="491"/>
      <c r="AQ154" s="491"/>
      <c r="AR154" s="492"/>
      <c r="AS154" s="490" t="e">
        <f>COUNTIFS(#REF!,"Both Mandatory and EBT",#REF!,"YES")</f>
        <v>#REF!</v>
      </c>
      <c r="AT154" s="491"/>
      <c r="AU154" s="491"/>
      <c r="AV154" s="491"/>
      <c r="AW154" s="491"/>
      <c r="AX154" s="491"/>
      <c r="AY154" s="491"/>
      <c r="AZ154" s="491"/>
      <c r="BA154" s="491"/>
      <c r="BB154" s="491"/>
      <c r="BC154" s="492"/>
    </row>
    <row r="155" spans="1:100" x14ac:dyDescent="0.25">
      <c r="A155" s="480" t="s">
        <v>178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501" t="e">
        <f>COUNTIF(#REF!,"Other (Specify in Notes)")</f>
        <v>#REF!</v>
      </c>
      <c r="X155" s="502"/>
      <c r="Y155" s="502"/>
      <c r="Z155" s="502"/>
      <c r="AA155" s="502"/>
      <c r="AB155" s="502"/>
      <c r="AC155" s="502"/>
      <c r="AD155" s="502"/>
      <c r="AE155" s="502"/>
      <c r="AF155" s="502"/>
      <c r="AG155" s="503"/>
      <c r="AH155" s="490" t="e">
        <f>COUNTIFS(#REF!,"Other (Specify in Notes)",#REF!,"YES")</f>
        <v>#REF!</v>
      </c>
      <c r="AI155" s="491"/>
      <c r="AJ155" s="491"/>
      <c r="AK155" s="491"/>
      <c r="AL155" s="491"/>
      <c r="AM155" s="491"/>
      <c r="AN155" s="491"/>
      <c r="AO155" s="491"/>
      <c r="AP155" s="491"/>
      <c r="AQ155" s="491"/>
      <c r="AR155" s="492"/>
      <c r="AS155" s="490" t="e">
        <f>COUNTIFS(#REF!,"Other (Specify in Notes)",#REF!,"YES")</f>
        <v>#REF!</v>
      </c>
      <c r="AT155" s="491"/>
      <c r="AU155" s="491"/>
      <c r="AV155" s="491"/>
      <c r="AW155" s="491"/>
      <c r="AX155" s="491"/>
      <c r="AY155" s="491"/>
      <c r="AZ155" s="491"/>
      <c r="BA155" s="491"/>
      <c r="BB155" s="491"/>
      <c r="BC155" s="492"/>
    </row>
    <row r="156" spans="1:100" ht="18.75" x14ac:dyDescent="0.25">
      <c r="A156" s="522" t="s">
        <v>123</v>
      </c>
      <c r="B156" s="522"/>
      <c r="C156" s="522"/>
      <c r="D156" s="522"/>
      <c r="E156" s="522"/>
      <c r="F156" s="522"/>
      <c r="G156" s="522"/>
      <c r="H156" s="522"/>
      <c r="I156" s="522"/>
      <c r="J156" s="522"/>
      <c r="K156" s="522"/>
      <c r="L156" s="522"/>
      <c r="M156" s="522"/>
      <c r="N156" s="522"/>
      <c r="O156" s="522"/>
      <c r="P156" s="522"/>
      <c r="Q156" s="522"/>
      <c r="R156" s="522"/>
      <c r="S156" s="522"/>
      <c r="T156" s="522"/>
      <c r="U156" s="522"/>
      <c r="V156" s="522"/>
      <c r="W156" s="524" t="e">
        <f>SUM(W152:W155)</f>
        <v>#REF!</v>
      </c>
      <c r="X156" s="525"/>
      <c r="Y156" s="525"/>
      <c r="Z156" s="525"/>
      <c r="AA156" s="525"/>
      <c r="AB156" s="525"/>
      <c r="AC156" s="525"/>
      <c r="AD156" s="525"/>
      <c r="AE156" s="525"/>
      <c r="AF156" s="525"/>
      <c r="AG156" s="526"/>
      <c r="AH156" s="524" t="e">
        <f>SUM(AH152:AH155)</f>
        <v>#REF!</v>
      </c>
      <c r="AI156" s="525"/>
      <c r="AJ156" s="525"/>
      <c r="AK156" s="525"/>
      <c r="AL156" s="525"/>
      <c r="AM156" s="525"/>
      <c r="AN156" s="525"/>
      <c r="AO156" s="525"/>
      <c r="AP156" s="525"/>
      <c r="AQ156" s="525"/>
      <c r="AR156" s="526"/>
      <c r="AS156" s="524" t="e">
        <f>SUM(AS152:AS155)</f>
        <v>#REF!</v>
      </c>
      <c r="AT156" s="525"/>
      <c r="AU156" s="525"/>
      <c r="AV156" s="525"/>
      <c r="AW156" s="525"/>
      <c r="AX156" s="525"/>
      <c r="AY156" s="525"/>
      <c r="AZ156" s="525"/>
      <c r="BA156" s="525"/>
      <c r="BB156" s="525"/>
      <c r="BC156" s="526"/>
    </row>
    <row r="157" spans="1:100" x14ac:dyDescent="0.25">
      <c r="A157" s="523" t="s">
        <v>428</v>
      </c>
      <c r="B157" s="523"/>
      <c r="C157" s="523"/>
      <c r="D157" s="523"/>
      <c r="E157" s="523"/>
      <c r="F157" s="523"/>
      <c r="G157" s="523"/>
      <c r="H157" s="523"/>
      <c r="I157" s="523"/>
      <c r="J157" s="523"/>
      <c r="K157" s="523"/>
      <c r="L157" s="523"/>
      <c r="M157" s="523"/>
      <c r="N157" s="523"/>
      <c r="O157" s="523"/>
      <c r="P157" s="523"/>
      <c r="Q157" s="523"/>
      <c r="R157" s="523"/>
      <c r="S157" s="523"/>
      <c r="T157" s="523"/>
      <c r="U157" s="523"/>
      <c r="V157" s="523"/>
      <c r="W157" s="394"/>
      <c r="X157" s="395"/>
      <c r="Y157" s="395"/>
      <c r="Z157" s="395"/>
      <c r="AA157" s="395"/>
      <c r="AB157" s="395"/>
      <c r="AC157" s="395"/>
      <c r="AD157" s="395"/>
      <c r="AE157" s="395"/>
      <c r="AF157" s="395"/>
      <c r="AG157" s="396"/>
      <c r="AH157" s="394"/>
      <c r="AI157" s="395"/>
      <c r="AJ157" s="395"/>
      <c r="AK157" s="395"/>
      <c r="AL157" s="395"/>
      <c r="AM157" s="395"/>
      <c r="AN157" s="395"/>
      <c r="AO157" s="395"/>
      <c r="AP157" s="395"/>
      <c r="AQ157" s="395"/>
      <c r="AR157" s="396"/>
      <c r="AS157" s="394"/>
      <c r="AT157" s="395"/>
      <c r="AU157" s="395"/>
      <c r="AV157" s="395"/>
      <c r="AW157" s="395"/>
      <c r="AX157" s="395"/>
      <c r="AY157" s="395"/>
      <c r="AZ157" s="395"/>
      <c r="BA157" s="395"/>
      <c r="BB157" s="395"/>
      <c r="BC157" s="396"/>
    </row>
    <row r="158" spans="1:100" x14ac:dyDescent="0.25">
      <c r="A158" s="523" t="s">
        <v>428</v>
      </c>
      <c r="B158" s="523"/>
      <c r="C158" s="523"/>
      <c r="D158" s="523"/>
      <c r="E158" s="523"/>
      <c r="F158" s="523"/>
      <c r="G158" s="523"/>
      <c r="H158" s="523"/>
      <c r="I158" s="523"/>
      <c r="J158" s="523"/>
      <c r="K158" s="523"/>
      <c r="L158" s="523"/>
      <c r="M158" s="523"/>
      <c r="N158" s="523"/>
      <c r="O158" s="523"/>
      <c r="P158" s="523"/>
      <c r="Q158" s="523"/>
      <c r="R158" s="523"/>
      <c r="S158" s="523"/>
      <c r="T158" s="523"/>
      <c r="U158" s="523"/>
      <c r="V158" s="523"/>
      <c r="W158" s="394"/>
      <c r="X158" s="395"/>
      <c r="Y158" s="395"/>
      <c r="Z158" s="395"/>
      <c r="AA158" s="395"/>
      <c r="AB158" s="395"/>
      <c r="AC158" s="395"/>
      <c r="AD158" s="395"/>
      <c r="AE158" s="395"/>
      <c r="AF158" s="395"/>
      <c r="AG158" s="396"/>
      <c r="AH158" s="394"/>
      <c r="AI158" s="395"/>
      <c r="AJ158" s="395"/>
      <c r="AK158" s="395"/>
      <c r="AL158" s="395"/>
      <c r="AM158" s="395"/>
      <c r="AN158" s="395"/>
      <c r="AO158" s="395"/>
      <c r="AP158" s="395"/>
      <c r="AQ158" s="395"/>
      <c r="AR158" s="396"/>
      <c r="AS158" s="394"/>
      <c r="AT158" s="395"/>
      <c r="AU158" s="395"/>
      <c r="AV158" s="395"/>
      <c r="AW158" s="395"/>
      <c r="AX158" s="395"/>
      <c r="AY158" s="395"/>
      <c r="AZ158" s="395"/>
      <c r="BA158" s="395"/>
      <c r="BB158" s="395"/>
      <c r="BC158" s="396"/>
    </row>
    <row r="159" spans="1:100" x14ac:dyDescent="0.25">
      <c r="A159" s="523" t="s">
        <v>428</v>
      </c>
      <c r="B159" s="523"/>
      <c r="C159" s="523"/>
      <c r="D159" s="523"/>
      <c r="E159" s="523"/>
      <c r="F159" s="523"/>
      <c r="G159" s="523"/>
      <c r="H159" s="523"/>
      <c r="I159" s="523"/>
      <c r="J159" s="523"/>
      <c r="K159" s="523"/>
      <c r="L159" s="523"/>
      <c r="M159" s="523"/>
      <c r="N159" s="523"/>
      <c r="O159" s="523"/>
      <c r="P159" s="523"/>
      <c r="Q159" s="523"/>
      <c r="R159" s="523"/>
      <c r="S159" s="523"/>
      <c r="T159" s="523"/>
      <c r="U159" s="523"/>
      <c r="V159" s="523"/>
      <c r="W159" s="394"/>
      <c r="X159" s="395"/>
      <c r="Y159" s="395"/>
      <c r="Z159" s="395"/>
      <c r="AA159" s="395"/>
      <c r="AB159" s="395"/>
      <c r="AC159" s="395"/>
      <c r="AD159" s="395"/>
      <c r="AE159" s="395"/>
      <c r="AF159" s="395"/>
      <c r="AG159" s="396"/>
      <c r="AH159" s="394"/>
      <c r="AI159" s="395"/>
      <c r="AJ159" s="395"/>
      <c r="AK159" s="395"/>
      <c r="AL159" s="395"/>
      <c r="AM159" s="395"/>
      <c r="AN159" s="395"/>
      <c r="AO159" s="395"/>
      <c r="AP159" s="395"/>
      <c r="AQ159" s="395"/>
      <c r="AR159" s="396"/>
      <c r="AS159" s="394"/>
      <c r="AT159" s="395"/>
      <c r="AU159" s="395"/>
      <c r="AV159" s="395"/>
      <c r="AW159" s="395"/>
      <c r="AX159" s="395"/>
      <c r="AY159" s="395"/>
      <c r="AZ159" s="395"/>
      <c r="BA159" s="395"/>
      <c r="BB159" s="395"/>
      <c r="BC159" s="396"/>
    </row>
    <row r="160" spans="1:100" x14ac:dyDescent="0.25">
      <c r="A160" s="523" t="s">
        <v>428</v>
      </c>
      <c r="B160" s="523"/>
      <c r="C160" s="523"/>
      <c r="D160" s="523"/>
      <c r="E160" s="523"/>
      <c r="F160" s="523"/>
      <c r="G160" s="523"/>
      <c r="H160" s="523"/>
      <c r="I160" s="523"/>
      <c r="J160" s="523"/>
      <c r="K160" s="523"/>
      <c r="L160" s="523"/>
      <c r="M160" s="523"/>
      <c r="N160" s="523"/>
      <c r="O160" s="523"/>
      <c r="P160" s="523"/>
      <c r="Q160" s="523"/>
      <c r="R160" s="523"/>
      <c r="S160" s="523"/>
      <c r="T160" s="523"/>
      <c r="U160" s="523"/>
      <c r="V160" s="523"/>
      <c r="W160" s="394"/>
      <c r="X160" s="395"/>
      <c r="Y160" s="395"/>
      <c r="Z160" s="395"/>
      <c r="AA160" s="395"/>
      <c r="AB160" s="395"/>
      <c r="AC160" s="395"/>
      <c r="AD160" s="395"/>
      <c r="AE160" s="395"/>
      <c r="AF160" s="395"/>
      <c r="AG160" s="396"/>
      <c r="AH160" s="394"/>
      <c r="AI160" s="395"/>
      <c r="AJ160" s="395"/>
      <c r="AK160" s="395"/>
      <c r="AL160" s="395"/>
      <c r="AM160" s="395"/>
      <c r="AN160" s="395"/>
      <c r="AO160" s="395"/>
      <c r="AP160" s="395"/>
      <c r="AQ160" s="395"/>
      <c r="AR160" s="396"/>
      <c r="AS160" s="394"/>
      <c r="AT160" s="395"/>
      <c r="AU160" s="395"/>
      <c r="AV160" s="395"/>
      <c r="AW160" s="395"/>
      <c r="AX160" s="395"/>
      <c r="AY160" s="395"/>
      <c r="AZ160" s="395"/>
      <c r="BA160" s="395"/>
      <c r="BB160" s="395"/>
      <c r="BC160" s="396"/>
    </row>
    <row r="161" spans="1:55" x14ac:dyDescent="0.25">
      <c r="A161" s="523" t="s">
        <v>428</v>
      </c>
      <c r="B161" s="523"/>
      <c r="C161" s="523"/>
      <c r="D161" s="523"/>
      <c r="E161" s="523"/>
      <c r="F161" s="523"/>
      <c r="G161" s="523"/>
      <c r="H161" s="523"/>
      <c r="I161" s="523"/>
      <c r="J161" s="523"/>
      <c r="K161" s="523"/>
      <c r="L161" s="523"/>
      <c r="M161" s="523"/>
      <c r="N161" s="523"/>
      <c r="O161" s="523"/>
      <c r="P161" s="523"/>
      <c r="Q161" s="523"/>
      <c r="R161" s="523"/>
      <c r="S161" s="523"/>
      <c r="T161" s="523"/>
      <c r="U161" s="523"/>
      <c r="V161" s="523"/>
      <c r="W161" s="394"/>
      <c r="X161" s="395"/>
      <c r="Y161" s="395"/>
      <c r="Z161" s="395"/>
      <c r="AA161" s="395"/>
      <c r="AB161" s="395"/>
      <c r="AC161" s="395"/>
      <c r="AD161" s="395"/>
      <c r="AE161" s="395"/>
      <c r="AF161" s="395"/>
      <c r="AG161" s="396"/>
      <c r="AH161" s="394"/>
      <c r="AI161" s="395"/>
      <c r="AJ161" s="395"/>
      <c r="AK161" s="395"/>
      <c r="AL161" s="395"/>
      <c r="AM161" s="395"/>
      <c r="AN161" s="395"/>
      <c r="AO161" s="395"/>
      <c r="AP161" s="395"/>
      <c r="AQ161" s="395"/>
      <c r="AR161" s="396"/>
      <c r="AS161" s="394"/>
      <c r="AT161" s="395"/>
      <c r="AU161" s="395"/>
      <c r="AV161" s="395"/>
      <c r="AW161" s="395"/>
      <c r="AX161" s="395"/>
      <c r="AY161" s="395"/>
      <c r="AZ161" s="395"/>
      <c r="BA161" s="395"/>
      <c r="BB161" s="395"/>
      <c r="BC161" s="396"/>
    </row>
    <row r="162" spans="1:55" x14ac:dyDescent="0.25">
      <c r="A162" s="523" t="s">
        <v>428</v>
      </c>
      <c r="B162" s="523"/>
      <c r="C162" s="523"/>
      <c r="D162" s="523"/>
      <c r="E162" s="523"/>
      <c r="F162" s="523"/>
      <c r="G162" s="523"/>
      <c r="H162" s="523"/>
      <c r="I162" s="523"/>
      <c r="J162" s="523"/>
      <c r="K162" s="523"/>
      <c r="L162" s="523"/>
      <c r="M162" s="523"/>
      <c r="N162" s="523"/>
      <c r="O162" s="523"/>
      <c r="P162" s="523"/>
      <c r="Q162" s="523"/>
      <c r="R162" s="523"/>
      <c r="S162" s="523"/>
      <c r="T162" s="523"/>
      <c r="U162" s="523"/>
      <c r="V162" s="523"/>
      <c r="W162" s="394"/>
      <c r="X162" s="395"/>
      <c r="Y162" s="395"/>
      <c r="Z162" s="395"/>
      <c r="AA162" s="395"/>
      <c r="AB162" s="395"/>
      <c r="AC162" s="395"/>
      <c r="AD162" s="395"/>
      <c r="AE162" s="395"/>
      <c r="AF162" s="395"/>
      <c r="AG162" s="396"/>
      <c r="AH162" s="394"/>
      <c r="AI162" s="395"/>
      <c r="AJ162" s="395"/>
      <c r="AK162" s="395"/>
      <c r="AL162" s="395"/>
      <c r="AM162" s="395"/>
      <c r="AN162" s="395"/>
      <c r="AO162" s="395"/>
      <c r="AP162" s="395"/>
      <c r="AQ162" s="395"/>
      <c r="AR162" s="396"/>
      <c r="AS162" s="394"/>
      <c r="AT162" s="395"/>
      <c r="AU162" s="395"/>
      <c r="AV162" s="395"/>
      <c r="AW162" s="395"/>
      <c r="AX162" s="395"/>
      <c r="AY162" s="395"/>
      <c r="AZ162" s="395"/>
      <c r="BA162" s="395"/>
      <c r="BB162" s="395"/>
      <c r="BC162" s="396"/>
    </row>
    <row r="163" spans="1:55" x14ac:dyDescent="0.25">
      <c r="A163" s="523" t="s">
        <v>428</v>
      </c>
      <c r="B163" s="523"/>
      <c r="C163" s="523"/>
      <c r="D163" s="523"/>
      <c r="E163" s="523"/>
      <c r="F163" s="523"/>
      <c r="G163" s="523"/>
      <c r="H163" s="523"/>
      <c r="I163" s="523"/>
      <c r="J163" s="523"/>
      <c r="K163" s="523"/>
      <c r="L163" s="523"/>
      <c r="M163" s="523"/>
      <c r="N163" s="523"/>
      <c r="O163" s="523"/>
      <c r="P163" s="523"/>
      <c r="Q163" s="523"/>
      <c r="R163" s="523"/>
      <c r="S163" s="523"/>
      <c r="T163" s="523"/>
      <c r="U163" s="523"/>
      <c r="V163" s="523"/>
      <c r="W163" s="394"/>
      <c r="X163" s="395"/>
      <c r="Y163" s="395"/>
      <c r="Z163" s="395"/>
      <c r="AA163" s="395"/>
      <c r="AB163" s="395"/>
      <c r="AC163" s="395"/>
      <c r="AD163" s="395"/>
      <c r="AE163" s="395"/>
      <c r="AF163" s="395"/>
      <c r="AG163" s="396"/>
      <c r="AH163" s="394"/>
      <c r="AI163" s="395"/>
      <c r="AJ163" s="395"/>
      <c r="AK163" s="395"/>
      <c r="AL163" s="395"/>
      <c r="AM163" s="395"/>
      <c r="AN163" s="395"/>
      <c r="AO163" s="395"/>
      <c r="AP163" s="395"/>
      <c r="AQ163" s="395"/>
      <c r="AR163" s="396"/>
      <c r="AS163" s="394"/>
      <c r="AT163" s="395"/>
      <c r="AU163" s="395"/>
      <c r="AV163" s="395"/>
      <c r="AW163" s="395"/>
      <c r="AX163" s="395"/>
      <c r="AY163" s="395"/>
      <c r="AZ163" s="395"/>
      <c r="BA163" s="395"/>
      <c r="BB163" s="395"/>
      <c r="BC163" s="396"/>
    </row>
    <row r="165" spans="1:55" ht="30" customHeight="1" x14ac:dyDescent="0.25">
      <c r="A165" s="512" t="s">
        <v>439</v>
      </c>
      <c r="B165" s="513"/>
      <c r="C165" s="513"/>
      <c r="D165" s="513"/>
      <c r="E165" s="513"/>
      <c r="F165" s="513"/>
      <c r="G165" s="513"/>
      <c r="H165" s="513"/>
      <c r="I165" s="513"/>
      <c r="J165" s="513"/>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row>
    <row r="166" spans="1:55" ht="39.950000000000003" customHeight="1" x14ac:dyDescent="0.25">
      <c r="A166" s="509" t="s">
        <v>443</v>
      </c>
      <c r="B166" s="510"/>
      <c r="C166" s="510"/>
      <c r="D166" s="510"/>
      <c r="E166" s="510"/>
      <c r="F166" s="510"/>
      <c r="G166" s="510"/>
      <c r="H166" s="510"/>
      <c r="I166" s="510" t="s">
        <v>440</v>
      </c>
      <c r="J166" s="510"/>
      <c r="K166" s="510"/>
      <c r="L166" s="511"/>
      <c r="M166" s="528" t="s">
        <v>441</v>
      </c>
      <c r="N166" s="528"/>
      <c r="O166" s="528"/>
      <c r="P166" s="528"/>
      <c r="Q166" s="528"/>
      <c r="R166" s="529" t="s">
        <v>442</v>
      </c>
      <c r="S166" s="530"/>
      <c r="T166" s="530"/>
      <c r="U166" s="530"/>
      <c r="V166" s="531"/>
      <c r="W166" s="527" t="s">
        <v>317</v>
      </c>
      <c r="X166" s="527"/>
      <c r="Y166" s="527"/>
      <c r="Z166" s="527"/>
      <c r="AA166" s="527"/>
      <c r="AB166" s="527"/>
      <c r="AC166" s="527" t="s">
        <v>426</v>
      </c>
      <c r="AD166" s="527"/>
      <c r="AE166" s="527"/>
      <c r="AF166" s="527"/>
      <c r="AG166" s="527"/>
      <c r="AH166" s="527"/>
      <c r="AI166" s="527" t="s">
        <v>453</v>
      </c>
      <c r="AJ166" s="527"/>
      <c r="AK166" s="527"/>
      <c r="AL166" s="527"/>
      <c r="AM166" s="527"/>
      <c r="AN166" s="527"/>
      <c r="AO166" s="527" t="s">
        <v>188</v>
      </c>
      <c r="AP166" s="527"/>
      <c r="AQ166" s="527"/>
      <c r="AR166" s="527"/>
      <c r="AS166" s="527"/>
      <c r="AT166" s="527"/>
      <c r="AU166" s="533" t="s">
        <v>123</v>
      </c>
      <c r="AV166" s="533"/>
      <c r="AW166" s="533"/>
      <c r="AX166" s="533"/>
      <c r="AY166" s="533"/>
      <c r="AZ166" s="533"/>
    </row>
    <row r="167" spans="1:55" ht="15.75" x14ac:dyDescent="0.25">
      <c r="A167" s="523" t="s">
        <v>444</v>
      </c>
      <c r="B167" s="523"/>
      <c r="C167" s="523"/>
      <c r="D167" s="523"/>
      <c r="E167" s="523"/>
      <c r="F167" s="523"/>
      <c r="G167" s="523"/>
      <c r="H167" s="523"/>
      <c r="I167" s="480">
        <f>'BASE GRANTEE INFO &amp; UPDATE'!C12</f>
        <v>0</v>
      </c>
      <c r="J167" s="480"/>
      <c r="K167" s="480"/>
      <c r="L167" s="480"/>
      <c r="M167" s="532">
        <f>'BASE GRANTEE INFO &amp; UPDATE'!L12</f>
        <v>0</v>
      </c>
      <c r="N167" s="480"/>
      <c r="O167" s="480"/>
      <c r="P167" s="480"/>
      <c r="Q167" s="480"/>
      <c r="R167" s="532">
        <f>'BASE GRANTEE INFO &amp; UPDATE'!Q12</f>
        <v>0</v>
      </c>
      <c r="S167" s="480"/>
      <c r="T167" s="480"/>
      <c r="U167" s="480"/>
      <c r="V167" s="480"/>
      <c r="W167" s="394" t="e">
        <f>COUNTIFS(#REF!,"Mandatory",#REF!,"YES")</f>
        <v>#REF!</v>
      </c>
      <c r="X167" s="395"/>
      <c r="Y167" s="395"/>
      <c r="Z167" s="395"/>
      <c r="AA167" s="395"/>
      <c r="AB167" s="396"/>
      <c r="AC167" s="394" t="e">
        <f>COUNTIFS(#REF!,"Evidence Based Training (EBT)",#REF!,"YES")</f>
        <v>#REF!</v>
      </c>
      <c r="AD167" s="395"/>
      <c r="AE167" s="395"/>
      <c r="AF167" s="395"/>
      <c r="AG167" s="395"/>
      <c r="AH167" s="396"/>
      <c r="AI167" s="394" t="e">
        <f>COUNTIFS(#REF!,"Both Mandatory and EBT",#REF!,"YES")</f>
        <v>#REF!</v>
      </c>
      <c r="AJ167" s="395"/>
      <c r="AK167" s="395"/>
      <c r="AL167" s="395"/>
      <c r="AM167" s="395"/>
      <c r="AN167" s="396"/>
      <c r="AO167" s="394" t="e">
        <f>COUNTIFS(#REF!,"Other (Specify in Notes)",#REF!,"YES")</f>
        <v>#REF!</v>
      </c>
      <c r="AP167" s="395"/>
      <c r="AQ167" s="395"/>
      <c r="AR167" s="395"/>
      <c r="AS167" s="395"/>
      <c r="AT167" s="396"/>
      <c r="AU167" s="534" t="e">
        <f t="shared" ref="AU167:AU178" si="7">SUM(W167:AT167)</f>
        <v>#REF!</v>
      </c>
      <c r="AV167" s="535"/>
      <c r="AW167" s="535"/>
      <c r="AX167" s="535"/>
      <c r="AY167" s="535"/>
      <c r="AZ167" s="536"/>
    </row>
    <row r="168" spans="1:55" ht="15.75" x14ac:dyDescent="0.25">
      <c r="A168" s="523" t="s">
        <v>445</v>
      </c>
      <c r="B168" s="523"/>
      <c r="C168" s="523"/>
      <c r="D168" s="523"/>
      <c r="E168" s="523"/>
      <c r="F168" s="523"/>
      <c r="G168" s="523"/>
      <c r="H168" s="523"/>
      <c r="I168" s="480">
        <f>'BASE GRANTEE INFO &amp; UPDATE'!C13</f>
        <v>0</v>
      </c>
      <c r="J168" s="480"/>
      <c r="K168" s="480"/>
      <c r="L168" s="480"/>
      <c r="M168" s="532">
        <f>'BASE GRANTEE INFO &amp; UPDATE'!L13</f>
        <v>0</v>
      </c>
      <c r="N168" s="480"/>
      <c r="O168" s="480"/>
      <c r="P168" s="480"/>
      <c r="Q168" s="480"/>
      <c r="R168" s="532">
        <f>'BASE GRANTEE INFO &amp; UPDATE'!Q13</f>
        <v>0</v>
      </c>
      <c r="S168" s="480"/>
      <c r="T168" s="480"/>
      <c r="U168" s="480"/>
      <c r="V168" s="480"/>
      <c r="W168" s="394" t="e">
        <f>COUNTIFS(#REF!,"Mandatory",#REF!,"YES")</f>
        <v>#REF!</v>
      </c>
      <c r="X168" s="395"/>
      <c r="Y168" s="395"/>
      <c r="Z168" s="395"/>
      <c r="AA168" s="395"/>
      <c r="AB168" s="396"/>
      <c r="AC168" s="394" t="e">
        <f>COUNTIFS(#REF!,"Evidence Based Training (EBT)",#REF!,"YES")</f>
        <v>#REF!</v>
      </c>
      <c r="AD168" s="395"/>
      <c r="AE168" s="395"/>
      <c r="AF168" s="395"/>
      <c r="AG168" s="395"/>
      <c r="AH168" s="396"/>
      <c r="AI168" s="394" t="e">
        <f>COUNTIFS(#REF!,"Both Mandatory and EBT",#REF!,"YES")</f>
        <v>#REF!</v>
      </c>
      <c r="AJ168" s="395"/>
      <c r="AK168" s="395"/>
      <c r="AL168" s="395"/>
      <c r="AM168" s="395"/>
      <c r="AN168" s="396"/>
      <c r="AO168" s="394" t="e">
        <f>COUNTIFS(#REF!,"Other (Specify in Notes)",#REF!,"YES")</f>
        <v>#REF!</v>
      </c>
      <c r="AP168" s="395"/>
      <c r="AQ168" s="395"/>
      <c r="AR168" s="395"/>
      <c r="AS168" s="395"/>
      <c r="AT168" s="396"/>
      <c r="AU168" s="534" t="e">
        <f t="shared" si="7"/>
        <v>#REF!</v>
      </c>
      <c r="AV168" s="535"/>
      <c r="AW168" s="535"/>
      <c r="AX168" s="535"/>
      <c r="AY168" s="535"/>
      <c r="AZ168" s="536"/>
    </row>
    <row r="169" spans="1:55" ht="15.75" x14ac:dyDescent="0.25">
      <c r="A169" s="523" t="s">
        <v>446</v>
      </c>
      <c r="B169" s="523"/>
      <c r="C169" s="523"/>
      <c r="D169" s="523"/>
      <c r="E169" s="523"/>
      <c r="F169" s="523"/>
      <c r="G169" s="523"/>
      <c r="H169" s="523"/>
      <c r="I169" s="480">
        <f>'BASE GRANTEE INFO &amp; UPDATE'!C14</f>
        <v>0</v>
      </c>
      <c r="J169" s="480"/>
      <c r="K169" s="480"/>
      <c r="L169" s="480"/>
      <c r="M169" s="532">
        <f>'BASE GRANTEE INFO &amp; UPDATE'!L14</f>
        <v>0</v>
      </c>
      <c r="N169" s="480"/>
      <c r="O169" s="480"/>
      <c r="P169" s="480"/>
      <c r="Q169" s="480"/>
      <c r="R169" s="532">
        <f>'BASE GRANTEE INFO &amp; UPDATE'!Q14</f>
        <v>0</v>
      </c>
      <c r="S169" s="480"/>
      <c r="T169" s="480"/>
      <c r="U169" s="480"/>
      <c r="V169" s="480"/>
      <c r="W169" s="394" t="e">
        <f>COUNTIFS(#REF!,"Mandatory",#REF!,"YES")</f>
        <v>#REF!</v>
      </c>
      <c r="X169" s="395"/>
      <c r="Y169" s="395"/>
      <c r="Z169" s="395"/>
      <c r="AA169" s="395"/>
      <c r="AB169" s="396"/>
      <c r="AC169" s="394" t="e">
        <f>COUNTIFS(#REF!,"Evidence Based Training (EBT)",#REF!,"YES")</f>
        <v>#REF!</v>
      </c>
      <c r="AD169" s="395"/>
      <c r="AE169" s="395"/>
      <c r="AF169" s="395"/>
      <c r="AG169" s="395"/>
      <c r="AH169" s="396"/>
      <c r="AI169" s="394" t="e">
        <f>COUNTIFS(#REF!,"Both Mandatory and EBT",#REF!,"YES")</f>
        <v>#REF!</v>
      </c>
      <c r="AJ169" s="395"/>
      <c r="AK169" s="395"/>
      <c r="AL169" s="395"/>
      <c r="AM169" s="395"/>
      <c r="AN169" s="396"/>
      <c r="AO169" s="394" t="e">
        <f>COUNTIFS(#REF!,"Other (Specify in Notes)",#REF!,"YES")</f>
        <v>#REF!</v>
      </c>
      <c r="AP169" s="395"/>
      <c r="AQ169" s="395"/>
      <c r="AR169" s="395"/>
      <c r="AS169" s="395"/>
      <c r="AT169" s="396"/>
      <c r="AU169" s="534" t="e">
        <f t="shared" si="7"/>
        <v>#REF!</v>
      </c>
      <c r="AV169" s="535"/>
      <c r="AW169" s="535"/>
      <c r="AX169" s="535"/>
      <c r="AY169" s="535"/>
      <c r="AZ169" s="536"/>
    </row>
    <row r="170" spans="1:55" ht="15.75" x14ac:dyDescent="0.25">
      <c r="A170" s="523" t="s">
        <v>447</v>
      </c>
      <c r="B170" s="523"/>
      <c r="C170" s="523"/>
      <c r="D170" s="523"/>
      <c r="E170" s="523"/>
      <c r="F170" s="523"/>
      <c r="G170" s="523"/>
      <c r="H170" s="523"/>
      <c r="I170" s="480">
        <f>'BASE GRANTEE INFO &amp; UPDATE'!C15</f>
        <v>0</v>
      </c>
      <c r="J170" s="480"/>
      <c r="K170" s="480"/>
      <c r="L170" s="480"/>
      <c r="M170" s="532">
        <f>'BASE GRANTEE INFO &amp; UPDATE'!L15</f>
        <v>0</v>
      </c>
      <c r="N170" s="480"/>
      <c r="O170" s="480"/>
      <c r="P170" s="480"/>
      <c r="Q170" s="480"/>
      <c r="R170" s="532">
        <f>'BASE GRANTEE INFO &amp; UPDATE'!Q15</f>
        <v>0</v>
      </c>
      <c r="S170" s="480"/>
      <c r="T170" s="480"/>
      <c r="U170" s="480"/>
      <c r="V170" s="480"/>
      <c r="W170" s="394" t="e">
        <f>COUNTIFS(#REF!,"Mandatory",#REF!,"YES")</f>
        <v>#REF!</v>
      </c>
      <c r="X170" s="395"/>
      <c r="Y170" s="395"/>
      <c r="Z170" s="395"/>
      <c r="AA170" s="395"/>
      <c r="AB170" s="396"/>
      <c r="AC170" s="394" t="e">
        <f>COUNTIFS(#REF!,"Evidence Based Training (EBT)",#REF!,"YES")</f>
        <v>#REF!</v>
      </c>
      <c r="AD170" s="395"/>
      <c r="AE170" s="395"/>
      <c r="AF170" s="395"/>
      <c r="AG170" s="395"/>
      <c r="AH170" s="396"/>
      <c r="AI170" s="394" t="e">
        <f>COUNTIFS(#REF!,"Both Mandatory and EBT",#REF!,"YES")</f>
        <v>#REF!</v>
      </c>
      <c r="AJ170" s="395"/>
      <c r="AK170" s="395"/>
      <c r="AL170" s="395"/>
      <c r="AM170" s="395"/>
      <c r="AN170" s="396"/>
      <c r="AO170" s="394" t="e">
        <f>COUNTIFS(#REF!,"Other (Specify in Notes)",#REF!,"YES")</f>
        <v>#REF!</v>
      </c>
      <c r="AP170" s="395"/>
      <c r="AQ170" s="395"/>
      <c r="AR170" s="395"/>
      <c r="AS170" s="395"/>
      <c r="AT170" s="396"/>
      <c r="AU170" s="534" t="e">
        <f t="shared" si="7"/>
        <v>#REF!</v>
      </c>
      <c r="AV170" s="535"/>
      <c r="AW170" s="535"/>
      <c r="AX170" s="535"/>
      <c r="AY170" s="535"/>
      <c r="AZ170" s="536"/>
    </row>
    <row r="171" spans="1:55" ht="15.75" x14ac:dyDescent="0.25">
      <c r="A171" s="523" t="s">
        <v>448</v>
      </c>
      <c r="B171" s="523"/>
      <c r="C171" s="523"/>
      <c r="D171" s="523"/>
      <c r="E171" s="523"/>
      <c r="F171" s="523"/>
      <c r="G171" s="523"/>
      <c r="H171" s="523"/>
      <c r="I171" s="480">
        <f>'BASE GRANTEE INFO &amp; UPDATE'!C16</f>
        <v>0</v>
      </c>
      <c r="J171" s="480"/>
      <c r="K171" s="480"/>
      <c r="L171" s="480"/>
      <c r="M171" s="532">
        <f>'BASE GRANTEE INFO &amp; UPDATE'!L16</f>
        <v>0</v>
      </c>
      <c r="N171" s="480"/>
      <c r="O171" s="480"/>
      <c r="P171" s="480"/>
      <c r="Q171" s="480"/>
      <c r="R171" s="532">
        <f>'BASE GRANTEE INFO &amp; UPDATE'!Q16</f>
        <v>0</v>
      </c>
      <c r="S171" s="480"/>
      <c r="T171" s="480"/>
      <c r="U171" s="480"/>
      <c r="V171" s="480"/>
      <c r="W171" s="394" t="e">
        <f>COUNTIFS(#REF!,"Mandatory",#REF!,"YES")</f>
        <v>#REF!</v>
      </c>
      <c r="X171" s="395"/>
      <c r="Y171" s="395"/>
      <c r="Z171" s="395"/>
      <c r="AA171" s="395"/>
      <c r="AB171" s="396"/>
      <c r="AC171" s="394" t="e">
        <f>COUNTIFS(#REF!,"Evidence Based Training (EBT)",#REF!,"YES")</f>
        <v>#REF!</v>
      </c>
      <c r="AD171" s="395"/>
      <c r="AE171" s="395"/>
      <c r="AF171" s="395"/>
      <c r="AG171" s="395"/>
      <c r="AH171" s="396"/>
      <c r="AI171" s="394" t="e">
        <f>COUNTIFS(#REF!,"Both Mandatory and EBT",#REF!,"YES")</f>
        <v>#REF!</v>
      </c>
      <c r="AJ171" s="395"/>
      <c r="AK171" s="395"/>
      <c r="AL171" s="395"/>
      <c r="AM171" s="395"/>
      <c r="AN171" s="396"/>
      <c r="AO171" s="394" t="e">
        <f>COUNTIFS(#REF!,"Other (Specify in Notes)",#REF!,"YES")</f>
        <v>#REF!</v>
      </c>
      <c r="AP171" s="395"/>
      <c r="AQ171" s="395"/>
      <c r="AR171" s="395"/>
      <c r="AS171" s="395"/>
      <c r="AT171" s="396"/>
      <c r="AU171" s="534" t="e">
        <f t="shared" si="7"/>
        <v>#REF!</v>
      </c>
      <c r="AV171" s="535"/>
      <c r="AW171" s="535"/>
      <c r="AX171" s="535"/>
      <c r="AY171" s="535"/>
      <c r="AZ171" s="536"/>
    </row>
    <row r="172" spans="1:55" ht="15.75" x14ac:dyDescent="0.25">
      <c r="A172" s="523" t="s">
        <v>449</v>
      </c>
      <c r="B172" s="523"/>
      <c r="C172" s="523"/>
      <c r="D172" s="523"/>
      <c r="E172" s="523"/>
      <c r="F172" s="523"/>
      <c r="G172" s="523"/>
      <c r="H172" s="523"/>
      <c r="I172" s="480">
        <f>'BASE GRANTEE INFO &amp; UPDATE'!C17</f>
        <v>0</v>
      </c>
      <c r="J172" s="480"/>
      <c r="K172" s="480"/>
      <c r="L172" s="480"/>
      <c r="M172" s="532">
        <f>'BASE GRANTEE INFO &amp; UPDATE'!L17</f>
        <v>0</v>
      </c>
      <c r="N172" s="480"/>
      <c r="O172" s="480"/>
      <c r="P172" s="480"/>
      <c r="Q172" s="480"/>
      <c r="R172" s="532">
        <f>'BASE GRANTEE INFO &amp; UPDATE'!Q17</f>
        <v>0</v>
      </c>
      <c r="S172" s="480"/>
      <c r="T172" s="480"/>
      <c r="U172" s="480"/>
      <c r="V172" s="480"/>
      <c r="W172" s="394" t="e">
        <f>COUNTIFS(#REF!,"Mandatory",#REF!,"YES")</f>
        <v>#REF!</v>
      </c>
      <c r="X172" s="395"/>
      <c r="Y172" s="395"/>
      <c r="Z172" s="395"/>
      <c r="AA172" s="395"/>
      <c r="AB172" s="396"/>
      <c r="AC172" s="394" t="e">
        <f>COUNTIFS(#REF!,"Evidence Based Training (EBT)",#REF!,"YES")</f>
        <v>#REF!</v>
      </c>
      <c r="AD172" s="395"/>
      <c r="AE172" s="395"/>
      <c r="AF172" s="395"/>
      <c r="AG172" s="395"/>
      <c r="AH172" s="396"/>
      <c r="AI172" s="394" t="e">
        <f>COUNTIFS(#REF!,"Both Mandatory and EBT",#REF!,"YES")</f>
        <v>#REF!</v>
      </c>
      <c r="AJ172" s="395"/>
      <c r="AK172" s="395"/>
      <c r="AL172" s="395"/>
      <c r="AM172" s="395"/>
      <c r="AN172" s="396"/>
      <c r="AO172" s="394" t="e">
        <f>COUNTIFS(#REF!,"Other (Specify in Notes)",#REF!,"YES")</f>
        <v>#REF!</v>
      </c>
      <c r="AP172" s="395"/>
      <c r="AQ172" s="395"/>
      <c r="AR172" s="395"/>
      <c r="AS172" s="395"/>
      <c r="AT172" s="396"/>
      <c r="AU172" s="534" t="e">
        <f t="shared" si="7"/>
        <v>#REF!</v>
      </c>
      <c r="AV172" s="535"/>
      <c r="AW172" s="535"/>
      <c r="AX172" s="535"/>
      <c r="AY172" s="535"/>
      <c r="AZ172" s="536"/>
    </row>
    <row r="173" spans="1:55" ht="15.75" x14ac:dyDescent="0.25">
      <c r="A173" s="523" t="s">
        <v>450</v>
      </c>
      <c r="B173" s="523"/>
      <c r="C173" s="523"/>
      <c r="D173" s="523"/>
      <c r="E173" s="523"/>
      <c r="F173" s="523"/>
      <c r="G173" s="523"/>
      <c r="H173" s="523"/>
      <c r="I173" s="480">
        <f>'BASE GRANTEE INFO &amp; UPDATE'!C18</f>
        <v>0</v>
      </c>
      <c r="J173" s="480"/>
      <c r="K173" s="480"/>
      <c r="L173" s="480"/>
      <c r="M173" s="532">
        <f>'BASE GRANTEE INFO &amp; UPDATE'!L18</f>
        <v>0</v>
      </c>
      <c r="N173" s="480"/>
      <c r="O173" s="480"/>
      <c r="P173" s="480"/>
      <c r="Q173" s="480"/>
      <c r="R173" s="532">
        <f>'BASE GRANTEE INFO &amp; UPDATE'!Q18</f>
        <v>0</v>
      </c>
      <c r="S173" s="480"/>
      <c r="T173" s="480"/>
      <c r="U173" s="480"/>
      <c r="V173" s="480"/>
      <c r="W173" s="394" t="e">
        <f>COUNTIFS(#REF!,"Mandatory",#REF!,"YES")</f>
        <v>#REF!</v>
      </c>
      <c r="X173" s="395"/>
      <c r="Y173" s="395"/>
      <c r="Z173" s="395"/>
      <c r="AA173" s="395"/>
      <c r="AB173" s="396"/>
      <c r="AC173" s="394" t="e">
        <f>COUNTIFS(#REF!,"Evidence Based Training (EBT)",#REF!,"YES")</f>
        <v>#REF!</v>
      </c>
      <c r="AD173" s="395"/>
      <c r="AE173" s="395"/>
      <c r="AF173" s="395"/>
      <c r="AG173" s="395"/>
      <c r="AH173" s="396"/>
      <c r="AI173" s="394" t="e">
        <f>COUNTIFS(#REF!,"Both Mandatory and EBT",#REF!,"YES")</f>
        <v>#REF!</v>
      </c>
      <c r="AJ173" s="395"/>
      <c r="AK173" s="395"/>
      <c r="AL173" s="395"/>
      <c r="AM173" s="395"/>
      <c r="AN173" s="396"/>
      <c r="AO173" s="394" t="e">
        <f>COUNTIFS(#REF!,"Other (Specify in Notes)",#REF!,"YES")</f>
        <v>#REF!</v>
      </c>
      <c r="AP173" s="395"/>
      <c r="AQ173" s="395"/>
      <c r="AR173" s="395"/>
      <c r="AS173" s="395"/>
      <c r="AT173" s="396"/>
      <c r="AU173" s="534" t="e">
        <f t="shared" si="7"/>
        <v>#REF!</v>
      </c>
      <c r="AV173" s="535"/>
      <c r="AW173" s="535"/>
      <c r="AX173" s="535"/>
      <c r="AY173" s="535"/>
      <c r="AZ173" s="536"/>
    </row>
    <row r="174" spans="1:55" ht="15.75" x14ac:dyDescent="0.25">
      <c r="A174" s="523" t="s">
        <v>451</v>
      </c>
      <c r="B174" s="523"/>
      <c r="C174" s="523"/>
      <c r="D174" s="523"/>
      <c r="E174" s="523"/>
      <c r="F174" s="523"/>
      <c r="G174" s="523"/>
      <c r="H174" s="523"/>
      <c r="I174" s="480">
        <f>'BASE GRANTEE INFO &amp; UPDATE'!C19</f>
        <v>0</v>
      </c>
      <c r="J174" s="480"/>
      <c r="K174" s="480"/>
      <c r="L174" s="480"/>
      <c r="M174" s="532">
        <f>'BASE GRANTEE INFO &amp; UPDATE'!L19</f>
        <v>0</v>
      </c>
      <c r="N174" s="480"/>
      <c r="O174" s="480"/>
      <c r="P174" s="480"/>
      <c r="Q174" s="480"/>
      <c r="R174" s="532">
        <f>'BASE GRANTEE INFO &amp; UPDATE'!Q19</f>
        <v>0</v>
      </c>
      <c r="S174" s="480"/>
      <c r="T174" s="480"/>
      <c r="U174" s="480"/>
      <c r="V174" s="480"/>
      <c r="W174" s="394" t="e">
        <f>COUNTIFS(#REF!,"Mandatory",#REF!,"YES")</f>
        <v>#REF!</v>
      </c>
      <c r="X174" s="395"/>
      <c r="Y174" s="395"/>
      <c r="Z174" s="395"/>
      <c r="AA174" s="395"/>
      <c r="AB174" s="396"/>
      <c r="AC174" s="394" t="e">
        <f>COUNTIFS(#REF!,"Evidence Based Training (EBT)",#REF!,"YES")</f>
        <v>#REF!</v>
      </c>
      <c r="AD174" s="395"/>
      <c r="AE174" s="395"/>
      <c r="AF174" s="395"/>
      <c r="AG174" s="395"/>
      <c r="AH174" s="396"/>
      <c r="AI174" s="394" t="e">
        <f>COUNTIFS(#REF!,"Both Mandatory and EBT",#REF!,"YES")</f>
        <v>#REF!</v>
      </c>
      <c r="AJ174" s="395"/>
      <c r="AK174" s="395"/>
      <c r="AL174" s="395"/>
      <c r="AM174" s="395"/>
      <c r="AN174" s="396"/>
      <c r="AO174" s="394" t="e">
        <f>COUNTIFS(#REF!,"Other (Specify in Notes)",#REF!,"YES")</f>
        <v>#REF!</v>
      </c>
      <c r="AP174" s="395"/>
      <c r="AQ174" s="395"/>
      <c r="AR174" s="395"/>
      <c r="AS174" s="395"/>
      <c r="AT174" s="396"/>
      <c r="AU174" s="534" t="e">
        <f t="shared" si="7"/>
        <v>#REF!</v>
      </c>
      <c r="AV174" s="535"/>
      <c r="AW174" s="535"/>
      <c r="AX174" s="535"/>
      <c r="AY174" s="535"/>
      <c r="AZ174" s="536"/>
    </row>
    <row r="175" spans="1:55" ht="15.75" x14ac:dyDescent="0.25">
      <c r="A175" s="523" t="s">
        <v>452</v>
      </c>
      <c r="B175" s="523"/>
      <c r="C175" s="523"/>
      <c r="D175" s="523"/>
      <c r="E175" s="523"/>
      <c r="F175" s="523"/>
      <c r="G175" s="523"/>
      <c r="H175" s="523"/>
      <c r="I175" s="480">
        <f>'BASE GRANTEE INFO &amp; UPDATE'!Y12</f>
        <v>0</v>
      </c>
      <c r="J175" s="480"/>
      <c r="K175" s="480"/>
      <c r="L175" s="480"/>
      <c r="M175" s="532">
        <f>'BASE GRANTEE INFO &amp; UPDATE'!AG12</f>
        <v>0</v>
      </c>
      <c r="N175" s="480"/>
      <c r="O175" s="480"/>
      <c r="P175" s="480"/>
      <c r="Q175" s="480"/>
      <c r="R175" s="532">
        <f>'BASE GRANTEE INFO &amp; UPDATE'!AL12</f>
        <v>0</v>
      </c>
      <c r="S175" s="480"/>
      <c r="T175" s="480"/>
      <c r="U175" s="480"/>
      <c r="V175" s="480"/>
      <c r="W175" s="394" t="e">
        <f>COUNTIFS(#REF!,"Mandatory",#REF!,"YES")</f>
        <v>#REF!</v>
      </c>
      <c r="X175" s="395"/>
      <c r="Y175" s="395"/>
      <c r="Z175" s="395"/>
      <c r="AA175" s="395"/>
      <c r="AB175" s="396"/>
      <c r="AC175" s="394" t="e">
        <f>COUNTIFS(#REF!,"Evidence Based Training (EBT)",#REF!,"YES")</f>
        <v>#REF!</v>
      </c>
      <c r="AD175" s="395"/>
      <c r="AE175" s="395"/>
      <c r="AF175" s="395"/>
      <c r="AG175" s="395"/>
      <c r="AH175" s="396"/>
      <c r="AI175" s="394" t="e">
        <f>COUNTIFS(#REF!,"Both Mandatory and EBT",#REF!,"YES")</f>
        <v>#REF!</v>
      </c>
      <c r="AJ175" s="395"/>
      <c r="AK175" s="395"/>
      <c r="AL175" s="395"/>
      <c r="AM175" s="395"/>
      <c r="AN175" s="396"/>
      <c r="AO175" s="394" t="e">
        <f>COUNTIFS(#REF!,"Other (Specify in Notes)",#REF!,"YES")</f>
        <v>#REF!</v>
      </c>
      <c r="AP175" s="395"/>
      <c r="AQ175" s="395"/>
      <c r="AR175" s="395"/>
      <c r="AS175" s="395"/>
      <c r="AT175" s="396"/>
      <c r="AU175" s="534" t="e">
        <f t="shared" si="7"/>
        <v>#REF!</v>
      </c>
      <c r="AV175" s="535"/>
      <c r="AW175" s="535"/>
      <c r="AX175" s="535"/>
      <c r="AY175" s="535"/>
      <c r="AZ175" s="536"/>
    </row>
    <row r="176" spans="1:55" ht="15.75" x14ac:dyDescent="0.25">
      <c r="A176" s="523" t="s">
        <v>454</v>
      </c>
      <c r="B176" s="523"/>
      <c r="C176" s="523"/>
      <c r="D176" s="523"/>
      <c r="E176" s="523"/>
      <c r="F176" s="523"/>
      <c r="G176" s="523"/>
      <c r="H176" s="523"/>
      <c r="I176" s="480">
        <f>'BASE GRANTEE INFO &amp; UPDATE'!Y13</f>
        <v>0</v>
      </c>
      <c r="J176" s="480"/>
      <c r="K176" s="480"/>
      <c r="L176" s="480"/>
      <c r="M176" s="532">
        <f>'BASE GRANTEE INFO &amp; UPDATE'!AG13</f>
        <v>0</v>
      </c>
      <c r="N176" s="480"/>
      <c r="O176" s="480"/>
      <c r="P176" s="480"/>
      <c r="Q176" s="480"/>
      <c r="R176" s="532">
        <f>'BASE GRANTEE INFO &amp; UPDATE'!AL13</f>
        <v>0</v>
      </c>
      <c r="S176" s="480"/>
      <c r="T176" s="480"/>
      <c r="U176" s="480"/>
      <c r="V176" s="480"/>
      <c r="W176" s="394" t="e">
        <f>COUNTIFS(#REF!,"Mandatory",#REF!,"YES")</f>
        <v>#REF!</v>
      </c>
      <c r="X176" s="395"/>
      <c r="Y176" s="395"/>
      <c r="Z176" s="395"/>
      <c r="AA176" s="395"/>
      <c r="AB176" s="396"/>
      <c r="AC176" s="394" t="e">
        <f>COUNTIFS(#REF!,"Evidence Based Training (EBT)",#REF!,"YES")</f>
        <v>#REF!</v>
      </c>
      <c r="AD176" s="395"/>
      <c r="AE176" s="395"/>
      <c r="AF176" s="395"/>
      <c r="AG176" s="395"/>
      <c r="AH176" s="396"/>
      <c r="AI176" s="394" t="e">
        <f>COUNTIFS(#REF!,"Both Mandatory and EBT",#REF!,"YES")</f>
        <v>#REF!</v>
      </c>
      <c r="AJ176" s="395"/>
      <c r="AK176" s="395"/>
      <c r="AL176" s="395"/>
      <c r="AM176" s="395"/>
      <c r="AN176" s="396"/>
      <c r="AO176" s="394" t="e">
        <f>COUNTIFS(#REF!,"Other (Specify in Notes)",#REF!,"YES")</f>
        <v>#REF!</v>
      </c>
      <c r="AP176" s="395"/>
      <c r="AQ176" s="395"/>
      <c r="AR176" s="395"/>
      <c r="AS176" s="395"/>
      <c r="AT176" s="396"/>
      <c r="AU176" s="534" t="e">
        <f t="shared" si="7"/>
        <v>#REF!</v>
      </c>
      <c r="AV176" s="535"/>
      <c r="AW176" s="535"/>
      <c r="AX176" s="535"/>
      <c r="AY176" s="535"/>
      <c r="AZ176" s="536"/>
    </row>
    <row r="177" spans="1:130" ht="15.75" x14ac:dyDescent="0.25">
      <c r="A177" s="523" t="s">
        <v>455</v>
      </c>
      <c r="B177" s="523"/>
      <c r="C177" s="523"/>
      <c r="D177" s="523"/>
      <c r="E177" s="523"/>
      <c r="F177" s="523"/>
      <c r="G177" s="523"/>
      <c r="H177" s="523"/>
      <c r="I177" s="480">
        <f>'BASE GRANTEE INFO &amp; UPDATE'!Y14</f>
        <v>0</v>
      </c>
      <c r="J177" s="480"/>
      <c r="K177" s="480"/>
      <c r="L177" s="480"/>
      <c r="M177" s="532">
        <f>'BASE GRANTEE INFO &amp; UPDATE'!AG14</f>
        <v>0</v>
      </c>
      <c r="N177" s="480"/>
      <c r="O177" s="480"/>
      <c r="P177" s="480"/>
      <c r="Q177" s="480"/>
      <c r="R177" s="532">
        <f>'BASE GRANTEE INFO &amp; UPDATE'!AL14</f>
        <v>0</v>
      </c>
      <c r="S177" s="480"/>
      <c r="T177" s="480"/>
      <c r="U177" s="480"/>
      <c r="V177" s="480"/>
      <c r="W177" s="394" t="e">
        <f>COUNTIFS(#REF!,"Mandatory",#REF!,"YES")</f>
        <v>#REF!</v>
      </c>
      <c r="X177" s="395"/>
      <c r="Y177" s="395"/>
      <c r="Z177" s="395"/>
      <c r="AA177" s="395"/>
      <c r="AB177" s="396"/>
      <c r="AC177" s="394" t="e">
        <f>COUNTIFS(#REF!,"Evidence Based Training (EBT)",#REF!,"YES")</f>
        <v>#REF!</v>
      </c>
      <c r="AD177" s="395"/>
      <c r="AE177" s="395"/>
      <c r="AF177" s="395"/>
      <c r="AG177" s="395"/>
      <c r="AH177" s="396"/>
      <c r="AI177" s="394" t="e">
        <f>COUNTIFS(#REF!,"Both Mandatory and EBT",#REF!,"YES")</f>
        <v>#REF!</v>
      </c>
      <c r="AJ177" s="395"/>
      <c r="AK177" s="395"/>
      <c r="AL177" s="395"/>
      <c r="AM177" s="395"/>
      <c r="AN177" s="396"/>
      <c r="AO177" s="394" t="e">
        <f>COUNTIFS(#REF!,"Other (Specify in Notes)",#REF!,"YES")</f>
        <v>#REF!</v>
      </c>
      <c r="AP177" s="395"/>
      <c r="AQ177" s="395"/>
      <c r="AR177" s="395"/>
      <c r="AS177" s="395"/>
      <c r="AT177" s="396"/>
      <c r="AU177" s="534" t="e">
        <f t="shared" si="7"/>
        <v>#REF!</v>
      </c>
      <c r="AV177" s="535"/>
      <c r="AW177" s="535"/>
      <c r="AX177" s="535"/>
      <c r="AY177" s="535"/>
      <c r="AZ177" s="536"/>
    </row>
    <row r="178" spans="1:130" ht="15.75" x14ac:dyDescent="0.25">
      <c r="A178" s="523" t="s">
        <v>456</v>
      </c>
      <c r="B178" s="523"/>
      <c r="C178" s="523"/>
      <c r="D178" s="523"/>
      <c r="E178" s="523"/>
      <c r="F178" s="523"/>
      <c r="G178" s="523"/>
      <c r="H178" s="523"/>
      <c r="I178" s="480">
        <f>'BASE GRANTEE INFO &amp; UPDATE'!Y15</f>
        <v>0</v>
      </c>
      <c r="J178" s="480"/>
      <c r="K178" s="480"/>
      <c r="L178" s="480"/>
      <c r="M178" s="532">
        <f>'BASE GRANTEE INFO &amp; UPDATE'!AG15</f>
        <v>0</v>
      </c>
      <c r="N178" s="480"/>
      <c r="O178" s="480"/>
      <c r="P178" s="480"/>
      <c r="Q178" s="480"/>
      <c r="R178" s="532">
        <f>'BASE GRANTEE INFO &amp; UPDATE'!AL15</f>
        <v>0</v>
      </c>
      <c r="S178" s="480"/>
      <c r="T178" s="480"/>
      <c r="U178" s="480"/>
      <c r="V178" s="480"/>
      <c r="W178" s="394" t="e">
        <f>COUNTIFS(#REF!,"Mandatory",#REF!,"YES")</f>
        <v>#REF!</v>
      </c>
      <c r="X178" s="395"/>
      <c r="Y178" s="395"/>
      <c r="Z178" s="395"/>
      <c r="AA178" s="395"/>
      <c r="AB178" s="396"/>
      <c r="AC178" s="394" t="e">
        <f>COUNTIFS(#REF!,"Evidence Based Training (EBT)",#REF!,"YES")</f>
        <v>#REF!</v>
      </c>
      <c r="AD178" s="395"/>
      <c r="AE178" s="395"/>
      <c r="AF178" s="395"/>
      <c r="AG178" s="395"/>
      <c r="AH178" s="396"/>
      <c r="AI178" s="394" t="e">
        <f>COUNTIFS(#REF!,"Both Mandatory and EBT",#REF!,"YES")</f>
        <v>#REF!</v>
      </c>
      <c r="AJ178" s="395"/>
      <c r="AK178" s="395"/>
      <c r="AL178" s="395"/>
      <c r="AM178" s="395"/>
      <c r="AN178" s="396"/>
      <c r="AO178" s="394" t="e">
        <f>COUNTIFS(#REF!,"Other (Specify in Notes)",#REF!,"YES")</f>
        <v>#REF!</v>
      </c>
      <c r="AP178" s="395"/>
      <c r="AQ178" s="395"/>
      <c r="AR178" s="395"/>
      <c r="AS178" s="395"/>
      <c r="AT178" s="396"/>
      <c r="AU178" s="534" t="e">
        <f t="shared" si="7"/>
        <v>#REF!</v>
      </c>
      <c r="AV178" s="535"/>
      <c r="AW178" s="535"/>
      <c r="AX178" s="535"/>
      <c r="AY178" s="535"/>
      <c r="AZ178" s="536"/>
    </row>
    <row r="179" spans="1:130" x14ac:dyDescent="0.25">
      <c r="W179" s="550"/>
      <c r="X179" s="550"/>
      <c r="Y179" s="550"/>
      <c r="Z179" s="550"/>
      <c r="AA179" s="550"/>
      <c r="AB179" s="550"/>
      <c r="AC179" s="550"/>
      <c r="AD179" s="550"/>
      <c r="AE179" s="550"/>
      <c r="AF179" s="550"/>
      <c r="AG179" s="550"/>
      <c r="AH179" s="550"/>
      <c r="AI179" s="550"/>
      <c r="AJ179" s="550"/>
      <c r="AK179" s="550"/>
      <c r="AL179" s="550"/>
      <c r="AM179" s="550"/>
      <c r="AN179" s="550"/>
      <c r="AO179" s="550"/>
      <c r="AP179" s="550"/>
      <c r="AQ179" s="550"/>
      <c r="AR179" s="550"/>
      <c r="AS179" s="550"/>
      <c r="AT179" s="550"/>
    </row>
    <row r="180" spans="1:130" ht="18.75" x14ac:dyDescent="0.25">
      <c r="A180" s="542" t="s">
        <v>457</v>
      </c>
      <c r="B180" s="542"/>
      <c r="C180" s="542"/>
      <c r="D180" s="542"/>
      <c r="E180" s="542"/>
      <c r="F180" s="542"/>
      <c r="G180" s="542"/>
      <c r="H180" s="542"/>
      <c r="I180" s="542"/>
      <c r="J180" s="542"/>
      <c r="K180" s="542"/>
      <c r="L180" s="542"/>
      <c r="M180" s="542"/>
      <c r="N180" s="542"/>
      <c r="O180" s="542"/>
      <c r="P180" s="542"/>
      <c r="Q180" s="542"/>
      <c r="R180" s="542"/>
      <c r="S180" s="542"/>
      <c r="T180" s="542"/>
      <c r="U180" s="542"/>
      <c r="V180" s="542"/>
      <c r="W180" s="542"/>
      <c r="X180" s="542"/>
      <c r="Y180" s="542"/>
      <c r="Z180" s="542"/>
      <c r="AA180" s="542"/>
      <c r="AB180" s="542"/>
      <c r="AC180" s="542"/>
      <c r="AD180" s="542"/>
      <c r="AE180" s="542"/>
      <c r="AF180" s="542"/>
      <c r="AG180" s="542"/>
      <c r="AH180" s="542"/>
      <c r="AI180" s="542"/>
      <c r="AJ180" s="542"/>
      <c r="AK180" s="542"/>
      <c r="AL180" s="542"/>
      <c r="AM180" s="542"/>
      <c r="AN180" s="542"/>
      <c r="AO180" s="542"/>
      <c r="AP180" s="542"/>
      <c r="AQ180" s="542"/>
      <c r="AR180" s="542"/>
      <c r="AS180" s="542"/>
      <c r="AT180" s="542"/>
      <c r="AU180" s="542"/>
      <c r="AV180" s="542"/>
      <c r="AW180" s="542"/>
      <c r="AX180" s="542"/>
      <c r="AY180" s="542"/>
      <c r="AZ180" s="542"/>
      <c r="BA180" s="542"/>
      <c r="BB180" s="542"/>
      <c r="BC180" s="542"/>
      <c r="BD180" s="542"/>
      <c r="BE180" s="542"/>
      <c r="BF180" s="542"/>
      <c r="BG180" s="542"/>
      <c r="BH180" s="542"/>
      <c r="BI180" s="542"/>
      <c r="BJ180" s="542"/>
      <c r="BK180" s="542"/>
      <c r="BL180" s="542"/>
      <c r="BM180" s="542"/>
      <c r="BN180" s="542"/>
      <c r="BO180" s="542"/>
      <c r="BP180" s="542"/>
      <c r="BQ180" s="542"/>
      <c r="BR180" s="542"/>
      <c r="BS180" s="542"/>
      <c r="BT180" s="542"/>
      <c r="BU180" s="542"/>
      <c r="BV180" s="542"/>
      <c r="BW180" s="542"/>
      <c r="BX180" s="542"/>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row>
    <row r="181" spans="1:130" ht="39.950000000000003" customHeight="1" x14ac:dyDescent="0.25">
      <c r="A181" s="540" t="s">
        <v>437</v>
      </c>
      <c r="B181" s="540"/>
      <c r="C181" s="540"/>
      <c r="D181" s="540"/>
      <c r="E181" s="540"/>
      <c r="F181" s="540"/>
      <c r="G181" s="540"/>
      <c r="H181" s="540"/>
      <c r="I181" s="540"/>
      <c r="J181" s="540"/>
      <c r="K181" s="540"/>
      <c r="L181" s="540"/>
      <c r="M181" s="540"/>
      <c r="N181" s="540"/>
      <c r="O181" s="540"/>
      <c r="P181" s="540"/>
      <c r="Q181" s="540"/>
      <c r="R181" s="540"/>
      <c r="S181" s="540"/>
      <c r="T181" s="540"/>
      <c r="U181" s="540"/>
      <c r="V181" s="540"/>
      <c r="W181" s="527" t="s">
        <v>186</v>
      </c>
      <c r="X181" s="527"/>
      <c r="Y181" s="527"/>
      <c r="Z181" s="527"/>
      <c r="AA181" s="527"/>
      <c r="AB181" s="527"/>
      <c r="AC181" s="527" t="s">
        <v>328</v>
      </c>
      <c r="AD181" s="527"/>
      <c r="AE181" s="527"/>
      <c r="AF181" s="527"/>
      <c r="AG181" s="527"/>
      <c r="AH181" s="527"/>
      <c r="AI181" s="527" t="s">
        <v>458</v>
      </c>
      <c r="AJ181" s="527"/>
      <c r="AK181" s="527"/>
      <c r="AL181" s="527"/>
      <c r="AM181" s="527"/>
      <c r="AN181" s="527"/>
      <c r="AO181" s="541" t="s">
        <v>459</v>
      </c>
      <c r="AP181" s="541"/>
      <c r="AQ181" s="541"/>
      <c r="AR181" s="541"/>
      <c r="AS181" s="541"/>
      <c r="AT181" s="541"/>
      <c r="AU181" s="541" t="s">
        <v>460</v>
      </c>
      <c r="AV181" s="541"/>
      <c r="AW181" s="541"/>
      <c r="AX181" s="541"/>
      <c r="AY181" s="541"/>
      <c r="AZ181" s="541"/>
      <c r="BA181" s="541" t="s">
        <v>465</v>
      </c>
      <c r="BB181" s="541"/>
      <c r="BC181" s="541"/>
      <c r="BD181" s="541"/>
      <c r="BE181" s="541"/>
      <c r="BF181" s="541"/>
      <c r="BG181" s="541" t="s">
        <v>327</v>
      </c>
      <c r="BH181" s="541"/>
      <c r="BI181" s="541"/>
      <c r="BJ181" s="541"/>
      <c r="BK181" s="541"/>
      <c r="BL181" s="541"/>
      <c r="BM181" s="541" t="s">
        <v>172</v>
      </c>
      <c r="BN181" s="541"/>
      <c r="BO181" s="541"/>
      <c r="BP181" s="541"/>
      <c r="BQ181" s="541"/>
      <c r="BR181" s="541"/>
      <c r="BS181" s="541" t="s">
        <v>329</v>
      </c>
      <c r="BT181" s="541"/>
      <c r="BU181" s="541"/>
      <c r="BV181" s="541"/>
      <c r="BW181" s="541"/>
      <c r="BX181" s="541"/>
      <c r="BY181" s="541" t="s">
        <v>333</v>
      </c>
      <c r="BZ181" s="541"/>
      <c r="CA181" s="541"/>
      <c r="CB181" s="541"/>
      <c r="CC181" s="541"/>
      <c r="CD181" s="541"/>
      <c r="CE181" s="541" t="s">
        <v>461</v>
      </c>
      <c r="CF181" s="541"/>
      <c r="CG181" s="541"/>
      <c r="CH181" s="541"/>
      <c r="CI181" s="541"/>
      <c r="CJ181" s="541"/>
      <c r="CK181" s="541" t="s">
        <v>332</v>
      </c>
      <c r="CL181" s="541"/>
      <c r="CM181" s="541"/>
      <c r="CN181" s="541"/>
      <c r="CO181" s="541"/>
      <c r="CP181" s="541"/>
      <c r="CQ181" s="541" t="s">
        <v>438</v>
      </c>
      <c r="CR181" s="541"/>
      <c r="CS181" s="541"/>
      <c r="CT181" s="541"/>
      <c r="CU181" s="541"/>
      <c r="CV181" s="541"/>
      <c r="CW181" s="541" t="s">
        <v>462</v>
      </c>
      <c r="CX181" s="541"/>
      <c r="CY181" s="541"/>
      <c r="CZ181" s="541"/>
      <c r="DA181" s="541"/>
      <c r="DB181" s="541"/>
      <c r="DC181" s="541" t="s">
        <v>331</v>
      </c>
      <c r="DD181" s="541"/>
      <c r="DE181" s="541"/>
      <c r="DF181" s="541"/>
      <c r="DG181" s="541"/>
      <c r="DH181" s="541"/>
      <c r="DI181" s="541" t="s">
        <v>330</v>
      </c>
      <c r="DJ181" s="541"/>
      <c r="DK181" s="541"/>
      <c r="DL181" s="541"/>
      <c r="DM181" s="541"/>
      <c r="DN181" s="541"/>
      <c r="DO181" s="541" t="s">
        <v>463</v>
      </c>
      <c r="DP181" s="541"/>
      <c r="DQ181" s="541"/>
      <c r="DR181" s="541"/>
      <c r="DS181" s="541"/>
      <c r="DT181" s="541"/>
      <c r="DU181" s="533" t="s">
        <v>123</v>
      </c>
      <c r="DV181" s="533"/>
      <c r="DW181" s="533"/>
      <c r="DX181" s="533"/>
      <c r="DY181" s="533"/>
      <c r="DZ181" s="533"/>
    </row>
    <row r="182" spans="1:130" ht="15.75" x14ac:dyDescent="0.25">
      <c r="A182" s="480" t="s">
        <v>176</v>
      </c>
      <c r="B182" s="480"/>
      <c r="C182" s="480"/>
      <c r="D182" s="480"/>
      <c r="E182" s="480"/>
      <c r="F182" s="480"/>
      <c r="G182" s="480"/>
      <c r="H182" s="480"/>
      <c r="I182" s="480"/>
      <c r="J182" s="480"/>
      <c r="K182" s="480"/>
      <c r="L182" s="480"/>
      <c r="M182" s="480"/>
      <c r="N182" s="480"/>
      <c r="O182" s="480"/>
      <c r="P182" s="480"/>
      <c r="Q182" s="480"/>
      <c r="R182" s="480"/>
      <c r="S182" s="480"/>
      <c r="T182" s="480"/>
      <c r="U182" s="480"/>
      <c r="V182" s="480"/>
      <c r="W182" s="250" t="e">
        <f>SUMIF(#REF!,"Mandatory",#REF!)</f>
        <v>#REF!</v>
      </c>
      <c r="X182" s="251"/>
      <c r="Y182" s="251"/>
      <c r="Z182" s="251"/>
      <c r="AA182" s="251"/>
      <c r="AB182" s="252"/>
      <c r="AC182" s="250" t="e">
        <f>SUMIF(#REF!,"Mandatory",#REF!)</f>
        <v>#REF!</v>
      </c>
      <c r="AD182" s="251"/>
      <c r="AE182" s="251"/>
      <c r="AF182" s="251"/>
      <c r="AG182" s="251"/>
      <c r="AH182" s="252"/>
      <c r="AI182" s="250" t="e">
        <f>SUMIF(#REF!,"Mandatory",#REF!)</f>
        <v>#REF!</v>
      </c>
      <c r="AJ182" s="251"/>
      <c r="AK182" s="251"/>
      <c r="AL182" s="251"/>
      <c r="AM182" s="251"/>
      <c r="AN182" s="252"/>
      <c r="AO182" s="537" t="e">
        <f>SUMIF(#REF!,"Mandatory",#REF!)</f>
        <v>#REF!</v>
      </c>
      <c r="AP182" s="538"/>
      <c r="AQ182" s="538"/>
      <c r="AR182" s="538"/>
      <c r="AS182" s="538"/>
      <c r="AT182" s="539"/>
      <c r="AU182" s="537" t="e">
        <f>SUMIF(#REF!,"Mandatory",#REF!)</f>
        <v>#REF!</v>
      </c>
      <c r="AV182" s="538"/>
      <c r="AW182" s="538"/>
      <c r="AX182" s="538"/>
      <c r="AY182" s="538"/>
      <c r="AZ182" s="539"/>
      <c r="BA182" s="250" t="e">
        <f>SUMIF(#REF!,"Mandatory",#REF!)</f>
        <v>#REF!</v>
      </c>
      <c r="BB182" s="251"/>
      <c r="BC182" s="251"/>
      <c r="BD182" s="251"/>
      <c r="BE182" s="251"/>
      <c r="BF182" s="252"/>
      <c r="BG182" s="250" t="e">
        <f>SUMIF(#REF!,"Mandatory",#REF!)</f>
        <v>#REF!</v>
      </c>
      <c r="BH182" s="251"/>
      <c r="BI182" s="251"/>
      <c r="BJ182" s="251"/>
      <c r="BK182" s="251"/>
      <c r="BL182" s="252"/>
      <c r="BM182" s="250" t="e">
        <f>SUMIF(#REF!,"Mandatory",#REF!)</f>
        <v>#REF!</v>
      </c>
      <c r="BN182" s="251"/>
      <c r="BO182" s="251"/>
      <c r="BP182" s="251"/>
      <c r="BQ182" s="251"/>
      <c r="BR182" s="252"/>
      <c r="BS182" s="250" t="e">
        <f>SUMIF(#REF!,"Mandatory",#REF!)</f>
        <v>#REF!</v>
      </c>
      <c r="BT182" s="251"/>
      <c r="BU182" s="251"/>
      <c r="BV182" s="251"/>
      <c r="BW182" s="251"/>
      <c r="BX182" s="252"/>
      <c r="BY182" s="250" t="e">
        <f>SUMIF(#REF!,"Mandatory",#REF!)</f>
        <v>#REF!</v>
      </c>
      <c r="BZ182" s="251"/>
      <c r="CA182" s="251"/>
      <c r="CB182" s="251"/>
      <c r="CC182" s="251"/>
      <c r="CD182" s="252"/>
      <c r="CE182" s="250" t="e">
        <f>SUMIF(#REF!,"Mandatory",#REF!)</f>
        <v>#REF!</v>
      </c>
      <c r="CF182" s="251"/>
      <c r="CG182" s="251"/>
      <c r="CH182" s="251"/>
      <c r="CI182" s="251"/>
      <c r="CJ182" s="252"/>
      <c r="CK182" s="250" t="e">
        <f>SUMIF(#REF!,"Mandatory",#REF!)</f>
        <v>#REF!</v>
      </c>
      <c r="CL182" s="251"/>
      <c r="CM182" s="251"/>
      <c r="CN182" s="251"/>
      <c r="CO182" s="251"/>
      <c r="CP182" s="252"/>
      <c r="CQ182" s="250" t="e">
        <f>SUMIF(#REF!,"Mandatory",#REF!)</f>
        <v>#REF!</v>
      </c>
      <c r="CR182" s="251"/>
      <c r="CS182" s="251"/>
      <c r="CT182" s="251"/>
      <c r="CU182" s="251"/>
      <c r="CV182" s="252"/>
      <c r="CW182" s="250" t="e">
        <f>SUMIF(#REF!,"Mandatory",#REF!)</f>
        <v>#REF!</v>
      </c>
      <c r="CX182" s="251"/>
      <c r="CY182" s="251"/>
      <c r="CZ182" s="251"/>
      <c r="DA182" s="251"/>
      <c r="DB182" s="252"/>
      <c r="DC182" s="250" t="e">
        <f>SUMIF(#REF!,"Mandatory",#REF!)</f>
        <v>#REF!</v>
      </c>
      <c r="DD182" s="251"/>
      <c r="DE182" s="251"/>
      <c r="DF182" s="251"/>
      <c r="DG182" s="251"/>
      <c r="DH182" s="252"/>
      <c r="DI182" s="250" t="e">
        <f>SUMIF(#REF!,"Mandatory",#REF!)</f>
        <v>#REF!</v>
      </c>
      <c r="DJ182" s="251"/>
      <c r="DK182" s="251"/>
      <c r="DL182" s="251"/>
      <c r="DM182" s="251"/>
      <c r="DN182" s="252"/>
      <c r="DO182" s="250" t="e">
        <f>SUMIF(#REF!,"Mandatory",#REF!)</f>
        <v>#REF!</v>
      </c>
      <c r="DP182" s="251"/>
      <c r="DQ182" s="251"/>
      <c r="DR182" s="251"/>
      <c r="DS182" s="251"/>
      <c r="DT182" s="252"/>
      <c r="DU182" s="544" t="e">
        <f>SUM(W182:DT182)</f>
        <v>#REF!</v>
      </c>
      <c r="DV182" s="545"/>
      <c r="DW182" s="545"/>
      <c r="DX182" s="545"/>
      <c r="DY182" s="545"/>
      <c r="DZ182" s="546"/>
    </row>
    <row r="183" spans="1:130" ht="15.75" x14ac:dyDescent="0.25">
      <c r="A183" s="480" t="s">
        <v>426</v>
      </c>
      <c r="B183" s="480"/>
      <c r="C183" s="480"/>
      <c r="D183" s="480"/>
      <c r="E183" s="480"/>
      <c r="F183" s="480"/>
      <c r="G183" s="480"/>
      <c r="H183" s="480"/>
      <c r="I183" s="480"/>
      <c r="J183" s="480"/>
      <c r="K183" s="480"/>
      <c r="L183" s="480"/>
      <c r="M183" s="480"/>
      <c r="N183" s="480"/>
      <c r="O183" s="480"/>
      <c r="P183" s="480"/>
      <c r="Q183" s="480"/>
      <c r="R183" s="480"/>
      <c r="S183" s="480"/>
      <c r="T183" s="480"/>
      <c r="U183" s="480"/>
      <c r="V183" s="480"/>
      <c r="W183" s="250" t="e">
        <f>SUMIF(#REF!,"Evidence Based Training (EBT)",#REF!)</f>
        <v>#REF!</v>
      </c>
      <c r="X183" s="251"/>
      <c r="Y183" s="251"/>
      <c r="Z183" s="251"/>
      <c r="AA183" s="251"/>
      <c r="AB183" s="252"/>
      <c r="AC183" s="250" t="e">
        <f>SUMIF(#REF!,"Evidence Based Training (EBT)",#REF!)</f>
        <v>#REF!</v>
      </c>
      <c r="AD183" s="251"/>
      <c r="AE183" s="251"/>
      <c r="AF183" s="251"/>
      <c r="AG183" s="251"/>
      <c r="AH183" s="252"/>
      <c r="AI183" s="250" t="e">
        <f>SUMIF(#REF!,"Evidence Based Training (EBT)",#REF!)</f>
        <v>#REF!</v>
      </c>
      <c r="AJ183" s="251"/>
      <c r="AK183" s="251"/>
      <c r="AL183" s="251"/>
      <c r="AM183" s="251"/>
      <c r="AN183" s="252"/>
      <c r="AO183" s="537" t="e">
        <f>SUMIF(#REF!,"Evidence Based Training (EBT)",#REF!)</f>
        <v>#REF!</v>
      </c>
      <c r="AP183" s="538"/>
      <c r="AQ183" s="538"/>
      <c r="AR183" s="538"/>
      <c r="AS183" s="538"/>
      <c r="AT183" s="539"/>
      <c r="AU183" s="537" t="e">
        <f>SUMIF(#REF!,"Evidence Based Training (EBT)",#REF!)</f>
        <v>#REF!</v>
      </c>
      <c r="AV183" s="538"/>
      <c r="AW183" s="538"/>
      <c r="AX183" s="538"/>
      <c r="AY183" s="538"/>
      <c r="AZ183" s="539"/>
      <c r="BA183" s="250" t="e">
        <f>SUMIF(#REF!,"Evidence Based Training (EBT)",#REF!)</f>
        <v>#REF!</v>
      </c>
      <c r="BB183" s="251"/>
      <c r="BC183" s="251"/>
      <c r="BD183" s="251"/>
      <c r="BE183" s="251"/>
      <c r="BF183" s="252"/>
      <c r="BG183" s="250" t="e">
        <f>SUMIF(#REF!,"Evidence Based Training (EBT)",#REF!)</f>
        <v>#REF!</v>
      </c>
      <c r="BH183" s="251"/>
      <c r="BI183" s="251"/>
      <c r="BJ183" s="251"/>
      <c r="BK183" s="251"/>
      <c r="BL183" s="252"/>
      <c r="BM183" s="250" t="e">
        <f>SUMIF(#REF!,"Evidence Based Training (EBT)",#REF!)</f>
        <v>#REF!</v>
      </c>
      <c r="BN183" s="251"/>
      <c r="BO183" s="251"/>
      <c r="BP183" s="251"/>
      <c r="BQ183" s="251"/>
      <c r="BR183" s="252"/>
      <c r="BS183" s="250" t="e">
        <f>SUMIF(#REF!,"Evidence Based Training (EBT)",#REF!)</f>
        <v>#REF!</v>
      </c>
      <c r="BT183" s="251"/>
      <c r="BU183" s="251"/>
      <c r="BV183" s="251"/>
      <c r="BW183" s="251"/>
      <c r="BX183" s="252"/>
      <c r="BY183" s="250" t="e">
        <f>SUMIF(#REF!,"Evidence Based Training (EBT)",#REF!)</f>
        <v>#REF!</v>
      </c>
      <c r="BZ183" s="251"/>
      <c r="CA183" s="251"/>
      <c r="CB183" s="251"/>
      <c r="CC183" s="251"/>
      <c r="CD183" s="252"/>
      <c r="CE183" s="250" t="e">
        <f>SUMIF(#REF!,"Evidence Based Training (EBT)",#REF!)</f>
        <v>#REF!</v>
      </c>
      <c r="CF183" s="251"/>
      <c r="CG183" s="251"/>
      <c r="CH183" s="251"/>
      <c r="CI183" s="251"/>
      <c r="CJ183" s="252"/>
      <c r="CK183" s="250" t="e">
        <f>SUMIF(#REF!,"Evidence Based Training (EBT)",#REF!)</f>
        <v>#REF!</v>
      </c>
      <c r="CL183" s="251"/>
      <c r="CM183" s="251"/>
      <c r="CN183" s="251"/>
      <c r="CO183" s="251"/>
      <c r="CP183" s="252"/>
      <c r="CQ183" s="250" t="e">
        <f>SUMIF(#REF!,"Evidence Based Training (EBT)",#REF!)</f>
        <v>#REF!</v>
      </c>
      <c r="CR183" s="251"/>
      <c r="CS183" s="251"/>
      <c r="CT183" s="251"/>
      <c r="CU183" s="251"/>
      <c r="CV183" s="252"/>
      <c r="CW183" s="250" t="e">
        <f>SUMIF(#REF!,"Evidence Based Training (EBT)",#REF!)</f>
        <v>#REF!</v>
      </c>
      <c r="CX183" s="251"/>
      <c r="CY183" s="251"/>
      <c r="CZ183" s="251"/>
      <c r="DA183" s="251"/>
      <c r="DB183" s="252"/>
      <c r="DC183" s="250" t="e">
        <f>SUMIF(#REF!,"Evidence Based Training (EBT)",#REF!)</f>
        <v>#REF!</v>
      </c>
      <c r="DD183" s="251"/>
      <c r="DE183" s="251"/>
      <c r="DF183" s="251"/>
      <c r="DG183" s="251"/>
      <c r="DH183" s="252"/>
      <c r="DI183" s="250" t="e">
        <f>SUMIF(#REF!,"Evidence Based Training (EBT)",#REF!)</f>
        <v>#REF!</v>
      </c>
      <c r="DJ183" s="251"/>
      <c r="DK183" s="251"/>
      <c r="DL183" s="251"/>
      <c r="DM183" s="251"/>
      <c r="DN183" s="252"/>
      <c r="DO183" s="250" t="e">
        <f>SUMIF(#REF!,"Evidence Based Training (EBT)",#REF!)</f>
        <v>#REF!</v>
      </c>
      <c r="DP183" s="251"/>
      <c r="DQ183" s="251"/>
      <c r="DR183" s="251"/>
      <c r="DS183" s="251"/>
      <c r="DT183" s="252"/>
      <c r="DU183" s="544" t="e">
        <f>SUM(W183:DT183)</f>
        <v>#REF!</v>
      </c>
      <c r="DV183" s="545"/>
      <c r="DW183" s="545"/>
      <c r="DX183" s="545"/>
      <c r="DY183" s="545"/>
      <c r="DZ183" s="546"/>
    </row>
    <row r="184" spans="1:130" ht="15.75" x14ac:dyDescent="0.25">
      <c r="A184" s="480" t="s">
        <v>427</v>
      </c>
      <c r="B184" s="480"/>
      <c r="C184" s="480"/>
      <c r="D184" s="480"/>
      <c r="E184" s="480"/>
      <c r="F184" s="480"/>
      <c r="G184" s="480"/>
      <c r="H184" s="480"/>
      <c r="I184" s="480"/>
      <c r="J184" s="480"/>
      <c r="K184" s="480"/>
      <c r="L184" s="480"/>
      <c r="M184" s="480"/>
      <c r="N184" s="480"/>
      <c r="O184" s="480"/>
      <c r="P184" s="480"/>
      <c r="Q184" s="480"/>
      <c r="R184" s="480"/>
      <c r="S184" s="480"/>
      <c r="T184" s="480"/>
      <c r="U184" s="480"/>
      <c r="V184" s="480"/>
      <c r="W184" s="250" t="e">
        <f>SUMIF(#REF!,"Both Mandatory and EBT",#REF!)</f>
        <v>#REF!</v>
      </c>
      <c r="X184" s="251"/>
      <c r="Y184" s="251"/>
      <c r="Z184" s="251"/>
      <c r="AA184" s="251"/>
      <c r="AB184" s="252"/>
      <c r="AC184" s="250" t="e">
        <f>SUMIF(#REF!,"Both Mandatory and EBT",#REF!)</f>
        <v>#REF!</v>
      </c>
      <c r="AD184" s="251"/>
      <c r="AE184" s="251"/>
      <c r="AF184" s="251"/>
      <c r="AG184" s="251"/>
      <c r="AH184" s="252"/>
      <c r="AI184" s="250" t="e">
        <f>SUMIF(#REF!,"Both Mandatory and EBT",#REF!)</f>
        <v>#REF!</v>
      </c>
      <c r="AJ184" s="251"/>
      <c r="AK184" s="251"/>
      <c r="AL184" s="251"/>
      <c r="AM184" s="251"/>
      <c r="AN184" s="252"/>
      <c r="AO184" s="537" t="e">
        <f>SUMIF(#REF!,"Both Mandatory and EBT",#REF!)</f>
        <v>#REF!</v>
      </c>
      <c r="AP184" s="538"/>
      <c r="AQ184" s="538"/>
      <c r="AR184" s="538"/>
      <c r="AS184" s="538"/>
      <c r="AT184" s="539"/>
      <c r="AU184" s="537" t="e">
        <f>SUMIF(#REF!,"Both Mandatory and EBT",#REF!)</f>
        <v>#REF!</v>
      </c>
      <c r="AV184" s="538"/>
      <c r="AW184" s="538"/>
      <c r="AX184" s="538"/>
      <c r="AY184" s="538"/>
      <c r="AZ184" s="539"/>
      <c r="BA184" s="250" t="e">
        <f>SUMIF(#REF!,"Both Mandatory and EBT",#REF!)</f>
        <v>#REF!</v>
      </c>
      <c r="BB184" s="251"/>
      <c r="BC184" s="251"/>
      <c r="BD184" s="251"/>
      <c r="BE184" s="251"/>
      <c r="BF184" s="252"/>
      <c r="BG184" s="250" t="e">
        <f>SUMIF(#REF!,"Both Mandatory and EBT",#REF!)</f>
        <v>#REF!</v>
      </c>
      <c r="BH184" s="251"/>
      <c r="BI184" s="251"/>
      <c r="BJ184" s="251"/>
      <c r="BK184" s="251"/>
      <c r="BL184" s="252"/>
      <c r="BM184" s="250" t="e">
        <f>SUMIF(#REF!,"Both Mandatory and EBT",#REF!)</f>
        <v>#REF!</v>
      </c>
      <c r="BN184" s="251"/>
      <c r="BO184" s="251"/>
      <c r="BP184" s="251"/>
      <c r="BQ184" s="251"/>
      <c r="BR184" s="252"/>
      <c r="BS184" s="250" t="e">
        <f>SUMIF(#REF!,"Both Mandatory and EBT",#REF!)</f>
        <v>#REF!</v>
      </c>
      <c r="BT184" s="251"/>
      <c r="BU184" s="251"/>
      <c r="BV184" s="251"/>
      <c r="BW184" s="251"/>
      <c r="BX184" s="252"/>
      <c r="BY184" s="250" t="e">
        <f>SUMIF(#REF!,"Both Mandatory and EBT",#REF!)</f>
        <v>#REF!</v>
      </c>
      <c r="BZ184" s="251"/>
      <c r="CA184" s="251"/>
      <c r="CB184" s="251"/>
      <c r="CC184" s="251"/>
      <c r="CD184" s="252"/>
      <c r="CE184" s="250" t="e">
        <f>SUMIF(#REF!,"Both Mandatory and EBT",#REF!)</f>
        <v>#REF!</v>
      </c>
      <c r="CF184" s="251"/>
      <c r="CG184" s="251"/>
      <c r="CH184" s="251"/>
      <c r="CI184" s="251"/>
      <c r="CJ184" s="252"/>
      <c r="CK184" s="250" t="e">
        <f>SUMIF(#REF!,"Both Mandatory and EBT",#REF!)</f>
        <v>#REF!</v>
      </c>
      <c r="CL184" s="251"/>
      <c r="CM184" s="251"/>
      <c r="CN184" s="251"/>
      <c r="CO184" s="251"/>
      <c r="CP184" s="252"/>
      <c r="CQ184" s="250" t="e">
        <f>SUMIF(#REF!,"Both Mandatory and EBT",#REF!)</f>
        <v>#REF!</v>
      </c>
      <c r="CR184" s="251"/>
      <c r="CS184" s="251"/>
      <c r="CT184" s="251"/>
      <c r="CU184" s="251"/>
      <c r="CV184" s="252"/>
      <c r="CW184" s="250" t="e">
        <f>SUMIF(#REF!,"Both Mandatory and EBT",#REF!)</f>
        <v>#REF!</v>
      </c>
      <c r="CX184" s="251"/>
      <c r="CY184" s="251"/>
      <c r="CZ184" s="251"/>
      <c r="DA184" s="251"/>
      <c r="DB184" s="252"/>
      <c r="DC184" s="250" t="e">
        <f>SUMIF(#REF!,"Both Mandatory and EBT",#REF!)</f>
        <v>#REF!</v>
      </c>
      <c r="DD184" s="251"/>
      <c r="DE184" s="251"/>
      <c r="DF184" s="251"/>
      <c r="DG184" s="251"/>
      <c r="DH184" s="252"/>
      <c r="DI184" s="250" t="e">
        <f>SUMIF(#REF!,"Both Mandatory and EBT",#REF!)</f>
        <v>#REF!</v>
      </c>
      <c r="DJ184" s="251"/>
      <c r="DK184" s="251"/>
      <c r="DL184" s="251"/>
      <c r="DM184" s="251"/>
      <c r="DN184" s="252"/>
      <c r="DO184" s="250" t="e">
        <f>SUMIF(#REF!,"Both Mandatory and EBT",#REF!)</f>
        <v>#REF!</v>
      </c>
      <c r="DP184" s="251"/>
      <c r="DQ184" s="251"/>
      <c r="DR184" s="251"/>
      <c r="DS184" s="251"/>
      <c r="DT184" s="252"/>
      <c r="DU184" s="544" t="e">
        <f>SUM(W184:DT184)</f>
        <v>#REF!</v>
      </c>
      <c r="DV184" s="545"/>
      <c r="DW184" s="545"/>
      <c r="DX184" s="545"/>
      <c r="DY184" s="545"/>
      <c r="DZ184" s="546"/>
    </row>
    <row r="185" spans="1:130" ht="15.75" x14ac:dyDescent="0.25">
      <c r="A185" s="480" t="s">
        <v>178</v>
      </c>
      <c r="B185" s="480"/>
      <c r="C185" s="480"/>
      <c r="D185" s="480"/>
      <c r="E185" s="480"/>
      <c r="F185" s="480"/>
      <c r="G185" s="480"/>
      <c r="H185" s="480"/>
      <c r="I185" s="480"/>
      <c r="J185" s="480"/>
      <c r="K185" s="480"/>
      <c r="L185" s="480"/>
      <c r="M185" s="480"/>
      <c r="N185" s="480"/>
      <c r="O185" s="480"/>
      <c r="P185" s="480"/>
      <c r="Q185" s="480"/>
      <c r="R185" s="480"/>
      <c r="S185" s="480"/>
      <c r="T185" s="480"/>
      <c r="U185" s="480"/>
      <c r="V185" s="480"/>
      <c r="W185" s="250" t="e">
        <f>SUMIF(#REF!,"Other (Specify in Notes)",#REF!)</f>
        <v>#REF!</v>
      </c>
      <c r="X185" s="251"/>
      <c r="Y185" s="251"/>
      <c r="Z185" s="251"/>
      <c r="AA185" s="251"/>
      <c r="AB185" s="252"/>
      <c r="AC185" s="250" t="e">
        <f>SUMIF(#REF!,"Other (Specify in Notes)",#REF!)</f>
        <v>#REF!</v>
      </c>
      <c r="AD185" s="251"/>
      <c r="AE185" s="251"/>
      <c r="AF185" s="251"/>
      <c r="AG185" s="251"/>
      <c r="AH185" s="252"/>
      <c r="AI185" s="250" t="e">
        <f>SUMIF(#REF!,"Other (Specify in Notes)",#REF!)</f>
        <v>#REF!</v>
      </c>
      <c r="AJ185" s="251"/>
      <c r="AK185" s="251"/>
      <c r="AL185" s="251"/>
      <c r="AM185" s="251"/>
      <c r="AN185" s="252"/>
      <c r="AO185" s="537" t="e">
        <f>SUMIF(#REF!,"Other (Specify in Notes)",#REF!)</f>
        <v>#REF!</v>
      </c>
      <c r="AP185" s="538"/>
      <c r="AQ185" s="538"/>
      <c r="AR185" s="538"/>
      <c r="AS185" s="538"/>
      <c r="AT185" s="539"/>
      <c r="AU185" s="537" t="e">
        <f>SUMIF(#REF!,"Other (Specify in Notes)",#REF!)</f>
        <v>#REF!</v>
      </c>
      <c r="AV185" s="538"/>
      <c r="AW185" s="538"/>
      <c r="AX185" s="538"/>
      <c r="AY185" s="538"/>
      <c r="AZ185" s="539"/>
      <c r="BA185" s="250" t="e">
        <f>SUMIF(#REF!,"Other (Specify in Notes)",#REF!)</f>
        <v>#REF!</v>
      </c>
      <c r="BB185" s="251"/>
      <c r="BC185" s="251"/>
      <c r="BD185" s="251"/>
      <c r="BE185" s="251"/>
      <c r="BF185" s="252"/>
      <c r="BG185" s="250" t="e">
        <f>SUMIF(#REF!,"Other (Specify in Notes)",#REF!)</f>
        <v>#REF!</v>
      </c>
      <c r="BH185" s="251"/>
      <c r="BI185" s="251"/>
      <c r="BJ185" s="251"/>
      <c r="BK185" s="251"/>
      <c r="BL185" s="252"/>
      <c r="BM185" s="250" t="e">
        <f>SUMIF(#REF!,"Other (Specify in Notes)",#REF!)</f>
        <v>#REF!</v>
      </c>
      <c r="BN185" s="251"/>
      <c r="BO185" s="251"/>
      <c r="BP185" s="251"/>
      <c r="BQ185" s="251"/>
      <c r="BR185" s="252"/>
      <c r="BS185" s="250" t="e">
        <f>SUMIF(#REF!,"Other (Specify in Notes)",#REF!)</f>
        <v>#REF!</v>
      </c>
      <c r="BT185" s="251"/>
      <c r="BU185" s="251"/>
      <c r="BV185" s="251"/>
      <c r="BW185" s="251"/>
      <c r="BX185" s="252"/>
      <c r="BY185" s="250" t="e">
        <f>SUMIF(#REF!,"Other (Specify in Notes)",#REF!)</f>
        <v>#REF!</v>
      </c>
      <c r="BZ185" s="251"/>
      <c r="CA185" s="251"/>
      <c r="CB185" s="251"/>
      <c r="CC185" s="251"/>
      <c r="CD185" s="252"/>
      <c r="CE185" s="250" t="e">
        <f>SUMIF(#REF!,"Other (Specify in Notes)",#REF!)</f>
        <v>#REF!</v>
      </c>
      <c r="CF185" s="251"/>
      <c r="CG185" s="251"/>
      <c r="CH185" s="251"/>
      <c r="CI185" s="251"/>
      <c r="CJ185" s="252"/>
      <c r="CK185" s="250" t="e">
        <f>SUMIF(#REF!,"Other (Specify in Notes)",#REF!)</f>
        <v>#REF!</v>
      </c>
      <c r="CL185" s="251"/>
      <c r="CM185" s="251"/>
      <c r="CN185" s="251"/>
      <c r="CO185" s="251"/>
      <c r="CP185" s="252"/>
      <c r="CQ185" s="250" t="e">
        <f>SUMIF(#REF!,"Other (Specify in Notes)",#REF!)</f>
        <v>#REF!</v>
      </c>
      <c r="CR185" s="251"/>
      <c r="CS185" s="251"/>
      <c r="CT185" s="251"/>
      <c r="CU185" s="251"/>
      <c r="CV185" s="252"/>
      <c r="CW185" s="250" t="e">
        <f>SUMIF(#REF!,"Other (Specify in Notes)",#REF!)</f>
        <v>#REF!</v>
      </c>
      <c r="CX185" s="251"/>
      <c r="CY185" s="251"/>
      <c r="CZ185" s="251"/>
      <c r="DA185" s="251"/>
      <c r="DB185" s="252"/>
      <c r="DC185" s="250" t="e">
        <f>SUMIF(#REF!,"Other (Specify in Notes)",#REF!)</f>
        <v>#REF!</v>
      </c>
      <c r="DD185" s="251"/>
      <c r="DE185" s="251"/>
      <c r="DF185" s="251"/>
      <c r="DG185" s="251"/>
      <c r="DH185" s="252"/>
      <c r="DI185" s="250" t="e">
        <f>SUMIF(#REF!,"Other (Specify in Notes)",#REF!)</f>
        <v>#REF!</v>
      </c>
      <c r="DJ185" s="251"/>
      <c r="DK185" s="251"/>
      <c r="DL185" s="251"/>
      <c r="DM185" s="251"/>
      <c r="DN185" s="252"/>
      <c r="DO185" s="250" t="e">
        <f>SUMIF(#REF!,"Other (Specify in Notes)",#REF!)</f>
        <v>#REF!</v>
      </c>
      <c r="DP185" s="251"/>
      <c r="DQ185" s="251"/>
      <c r="DR185" s="251"/>
      <c r="DS185" s="251"/>
      <c r="DT185" s="252"/>
      <c r="DU185" s="544" t="e">
        <f>SUM(W185:DT185)</f>
        <v>#REF!</v>
      </c>
      <c r="DV185" s="545"/>
      <c r="DW185" s="545"/>
      <c r="DX185" s="545"/>
      <c r="DY185" s="545"/>
      <c r="DZ185" s="546"/>
    </row>
    <row r="186" spans="1:130" ht="15.75" x14ac:dyDescent="0.25">
      <c r="A186" s="480"/>
      <c r="B186" s="480"/>
      <c r="C186" s="480"/>
      <c r="D186" s="480"/>
      <c r="E186" s="480"/>
      <c r="F186" s="480"/>
      <c r="G186" s="480"/>
      <c r="H186" s="480"/>
      <c r="I186" s="480"/>
      <c r="J186" s="480"/>
      <c r="K186" s="480"/>
      <c r="L186" s="480"/>
      <c r="M186" s="480"/>
      <c r="N186" s="480"/>
      <c r="O186" s="480"/>
      <c r="P186" s="480"/>
      <c r="Q186" s="480"/>
      <c r="R186" s="480"/>
      <c r="S186" s="480"/>
      <c r="T186" s="480"/>
      <c r="U186" s="480"/>
      <c r="V186" s="480"/>
      <c r="W186" s="250"/>
      <c r="X186" s="251"/>
      <c r="Y186" s="251"/>
      <c r="Z186" s="251"/>
      <c r="AA186" s="251"/>
      <c r="AB186" s="252"/>
      <c r="AC186" s="394"/>
      <c r="AD186" s="395"/>
      <c r="AE186" s="395"/>
      <c r="AF186" s="395"/>
      <c r="AG186" s="395"/>
      <c r="AH186" s="396"/>
      <c r="AI186" s="394"/>
      <c r="AJ186" s="395"/>
      <c r="AK186" s="395"/>
      <c r="AL186" s="395"/>
      <c r="AM186" s="395"/>
      <c r="AN186" s="396"/>
      <c r="AO186" s="537"/>
      <c r="AP186" s="538"/>
      <c r="AQ186" s="538"/>
      <c r="AR186" s="538"/>
      <c r="AS186" s="538"/>
      <c r="AT186" s="539"/>
      <c r="AU186" s="537"/>
      <c r="AV186" s="538"/>
      <c r="AW186" s="538"/>
      <c r="AX186" s="538"/>
      <c r="AY186" s="538"/>
      <c r="AZ186" s="539"/>
      <c r="BA186" s="250"/>
      <c r="BB186" s="251"/>
      <c r="BC186" s="251"/>
      <c r="BD186" s="251"/>
      <c r="BE186" s="251"/>
      <c r="BF186" s="252"/>
      <c r="BG186" s="250"/>
      <c r="BH186" s="251"/>
      <c r="BI186" s="251"/>
      <c r="BJ186" s="251"/>
      <c r="BK186" s="251"/>
      <c r="BL186" s="252"/>
      <c r="BM186" s="394"/>
      <c r="BN186" s="395"/>
      <c r="BO186" s="395"/>
      <c r="BP186" s="395"/>
      <c r="BQ186" s="395"/>
      <c r="BR186" s="396"/>
      <c r="BS186" s="394"/>
      <c r="BT186" s="395"/>
      <c r="BU186" s="395"/>
      <c r="BV186" s="395"/>
      <c r="BW186" s="395"/>
      <c r="BX186" s="396"/>
      <c r="BY186" s="394"/>
      <c r="BZ186" s="395"/>
      <c r="CA186" s="395"/>
      <c r="CB186" s="395"/>
      <c r="CC186" s="395"/>
      <c r="CD186" s="396"/>
      <c r="CE186" s="394"/>
      <c r="CF186" s="395"/>
      <c r="CG186" s="395"/>
      <c r="CH186" s="395"/>
      <c r="CI186" s="395"/>
      <c r="CJ186" s="396"/>
      <c r="CK186" s="394"/>
      <c r="CL186" s="395"/>
      <c r="CM186" s="395"/>
      <c r="CN186" s="395"/>
      <c r="CO186" s="395"/>
      <c r="CP186" s="396"/>
      <c r="CQ186" s="394"/>
      <c r="CR186" s="395"/>
      <c r="CS186" s="395"/>
      <c r="CT186" s="395"/>
      <c r="CU186" s="395"/>
      <c r="CV186" s="396"/>
      <c r="CW186" s="394"/>
      <c r="CX186" s="395"/>
      <c r="CY186" s="395"/>
      <c r="CZ186" s="395"/>
      <c r="DA186" s="395"/>
      <c r="DB186" s="396"/>
      <c r="DC186" s="394"/>
      <c r="DD186" s="395"/>
      <c r="DE186" s="395"/>
      <c r="DF186" s="395"/>
      <c r="DG186" s="395"/>
      <c r="DH186" s="396"/>
      <c r="DI186" s="394"/>
      <c r="DJ186" s="395"/>
      <c r="DK186" s="395"/>
      <c r="DL186" s="395"/>
      <c r="DM186" s="395"/>
      <c r="DN186" s="396"/>
      <c r="DO186" s="394"/>
      <c r="DP186" s="395"/>
      <c r="DQ186" s="395"/>
      <c r="DR186" s="395"/>
      <c r="DS186" s="395"/>
      <c r="DT186" s="396"/>
      <c r="DU186" s="544"/>
      <c r="DV186" s="545"/>
      <c r="DW186" s="545"/>
      <c r="DX186" s="545"/>
      <c r="DY186" s="545"/>
      <c r="DZ186" s="546"/>
    </row>
    <row r="187" spans="1:130" ht="15.75" x14ac:dyDescent="0.25">
      <c r="A187" s="543" t="s">
        <v>123</v>
      </c>
      <c r="B187" s="543"/>
      <c r="C187" s="543"/>
      <c r="D187" s="543"/>
      <c r="E187" s="543"/>
      <c r="F187" s="543"/>
      <c r="G187" s="543"/>
      <c r="H187" s="543"/>
      <c r="I187" s="543"/>
      <c r="J187" s="543"/>
      <c r="K187" s="543"/>
      <c r="L187" s="543"/>
      <c r="M187" s="543"/>
      <c r="N187" s="543"/>
      <c r="O187" s="543"/>
      <c r="P187" s="543"/>
      <c r="Q187" s="543"/>
      <c r="R187" s="543"/>
      <c r="S187" s="543"/>
      <c r="T187" s="543"/>
      <c r="U187" s="543"/>
      <c r="V187" s="543"/>
      <c r="W187" s="544" t="e">
        <f>SUM(W182:W186)</f>
        <v>#REF!</v>
      </c>
      <c r="X187" s="545"/>
      <c r="Y187" s="545"/>
      <c r="Z187" s="545"/>
      <c r="AA187" s="545"/>
      <c r="AB187" s="546"/>
      <c r="AC187" s="544" t="e">
        <f>SUM(AC182:AC186)</f>
        <v>#REF!</v>
      </c>
      <c r="AD187" s="545"/>
      <c r="AE187" s="545"/>
      <c r="AF187" s="545"/>
      <c r="AG187" s="545"/>
      <c r="AH187" s="546"/>
      <c r="AI187" s="547" t="e">
        <f>SUM(AI182:AI186)</f>
        <v>#REF!</v>
      </c>
      <c r="AJ187" s="548"/>
      <c r="AK187" s="548"/>
      <c r="AL187" s="548"/>
      <c r="AM187" s="548"/>
      <c r="AN187" s="549"/>
      <c r="AO187" s="547" t="e">
        <f>SUM(AO182:AO186)</f>
        <v>#REF!</v>
      </c>
      <c r="AP187" s="548"/>
      <c r="AQ187" s="548"/>
      <c r="AR187" s="548"/>
      <c r="AS187" s="548"/>
      <c r="AT187" s="549"/>
      <c r="AU187" s="547" t="e">
        <f>SUM(AU182:AU186)</f>
        <v>#REF!</v>
      </c>
      <c r="AV187" s="548"/>
      <c r="AW187" s="548"/>
      <c r="AX187" s="548"/>
      <c r="AY187" s="548"/>
      <c r="AZ187" s="549"/>
      <c r="BA187" s="544" t="e">
        <f>SUM(BA182:BA186)</f>
        <v>#REF!</v>
      </c>
      <c r="BB187" s="545"/>
      <c r="BC187" s="545"/>
      <c r="BD187" s="545"/>
      <c r="BE187" s="545"/>
      <c r="BF187" s="546"/>
      <c r="BG187" s="544" t="e">
        <f>SUM(BG182:BG186)</f>
        <v>#REF!</v>
      </c>
      <c r="BH187" s="545"/>
      <c r="BI187" s="545"/>
      <c r="BJ187" s="545"/>
      <c r="BK187" s="545"/>
      <c r="BL187" s="546"/>
      <c r="BM187" s="547" t="e">
        <f>SUM(BM182:BM186)</f>
        <v>#REF!</v>
      </c>
      <c r="BN187" s="548"/>
      <c r="BO187" s="548"/>
      <c r="BP187" s="548"/>
      <c r="BQ187" s="548"/>
      <c r="BR187" s="549"/>
      <c r="BS187" s="547" t="e">
        <f>SUM(BS182:BS186)</f>
        <v>#REF!</v>
      </c>
      <c r="BT187" s="548"/>
      <c r="BU187" s="548"/>
      <c r="BV187" s="548"/>
      <c r="BW187" s="548"/>
      <c r="BX187" s="549"/>
      <c r="BY187" s="547" t="e">
        <f>SUM(BY182:BY186)</f>
        <v>#REF!</v>
      </c>
      <c r="BZ187" s="548"/>
      <c r="CA187" s="548"/>
      <c r="CB187" s="548"/>
      <c r="CC187" s="548"/>
      <c r="CD187" s="549"/>
      <c r="CE187" s="547" t="e">
        <f>SUM(CE182:CE186)</f>
        <v>#REF!</v>
      </c>
      <c r="CF187" s="548"/>
      <c r="CG187" s="548"/>
      <c r="CH187" s="548"/>
      <c r="CI187" s="548"/>
      <c r="CJ187" s="549"/>
      <c r="CK187" s="547" t="e">
        <f>SUM(CK182:CK186)</f>
        <v>#REF!</v>
      </c>
      <c r="CL187" s="548"/>
      <c r="CM187" s="548"/>
      <c r="CN187" s="548"/>
      <c r="CO187" s="548"/>
      <c r="CP187" s="549"/>
      <c r="CQ187" s="547" t="e">
        <f>SUM(CQ182:CQ186)</f>
        <v>#REF!</v>
      </c>
      <c r="CR187" s="548"/>
      <c r="CS187" s="548"/>
      <c r="CT187" s="548"/>
      <c r="CU187" s="548"/>
      <c r="CV187" s="549"/>
      <c r="CW187" s="547" t="e">
        <f>SUM(CW182:CW186)</f>
        <v>#REF!</v>
      </c>
      <c r="CX187" s="548"/>
      <c r="CY187" s="548"/>
      <c r="CZ187" s="548"/>
      <c r="DA187" s="548"/>
      <c r="DB187" s="549"/>
      <c r="DC187" s="547" t="e">
        <f>SUM(DC182:DC186)</f>
        <v>#REF!</v>
      </c>
      <c r="DD187" s="548"/>
      <c r="DE187" s="548"/>
      <c r="DF187" s="548"/>
      <c r="DG187" s="548"/>
      <c r="DH187" s="549"/>
      <c r="DI187" s="547" t="e">
        <f>SUM(DI182:DI186)</f>
        <v>#REF!</v>
      </c>
      <c r="DJ187" s="548"/>
      <c r="DK187" s="548"/>
      <c r="DL187" s="548"/>
      <c r="DM187" s="548"/>
      <c r="DN187" s="549"/>
      <c r="DO187" s="547" t="e">
        <f>SUM(DO182:DO186)</f>
        <v>#REF!</v>
      </c>
      <c r="DP187" s="548"/>
      <c r="DQ187" s="548"/>
      <c r="DR187" s="548"/>
      <c r="DS187" s="548"/>
      <c r="DT187" s="549"/>
      <c r="DU187" s="544" t="e">
        <f>SUM(DU182:DU186)</f>
        <v>#REF!</v>
      </c>
      <c r="DV187" s="545"/>
      <c r="DW187" s="545"/>
      <c r="DX187" s="545"/>
      <c r="DY187" s="545"/>
      <c r="DZ187" s="546"/>
    </row>
    <row r="191" spans="1:130" ht="26.25" x14ac:dyDescent="0.4">
      <c r="A191" s="551" t="s">
        <v>324</v>
      </c>
      <c r="B191" s="551"/>
      <c r="C191" s="551"/>
      <c r="D191" s="551"/>
      <c r="E191" s="551"/>
      <c r="F191" s="551"/>
      <c r="G191" s="551"/>
      <c r="H191" s="551"/>
      <c r="I191" s="551"/>
      <c r="J191" s="551"/>
      <c r="K191" s="551"/>
      <c r="L191" s="551"/>
      <c r="M191" s="551"/>
      <c r="N191" s="551"/>
      <c r="O191" s="551"/>
      <c r="P191" s="551"/>
      <c r="Q191" s="551"/>
      <c r="R191" s="551"/>
      <c r="S191" s="551"/>
      <c r="T191" s="551"/>
      <c r="U191" s="551"/>
      <c r="V191" s="551"/>
      <c r="W191" s="551"/>
      <c r="X191" s="551"/>
      <c r="Y191" s="551"/>
      <c r="Z191" s="551"/>
      <c r="AA191" s="551"/>
      <c r="AB191" s="551"/>
      <c r="AC191" s="551"/>
      <c r="AD191" s="551"/>
      <c r="AE191" s="551"/>
      <c r="AF191" s="551"/>
      <c r="AG191" s="551"/>
      <c r="AH191" s="551"/>
      <c r="AI191" s="551"/>
      <c r="AJ191" s="551"/>
      <c r="AK191" s="551"/>
      <c r="AL191" s="551"/>
      <c r="AM191" s="551"/>
      <c r="AN191" s="551"/>
      <c r="AO191" s="551"/>
      <c r="AP191" s="551"/>
      <c r="AQ191" s="551"/>
      <c r="AR191" s="551"/>
      <c r="AS191" s="551"/>
      <c r="AT191" s="551"/>
      <c r="AU191" s="551"/>
      <c r="AV191" s="551"/>
      <c r="AW191" s="551"/>
      <c r="AX191" s="551"/>
      <c r="AY191" s="551"/>
      <c r="AZ191" s="551"/>
      <c r="BA191" s="551"/>
      <c r="BB191" s="551"/>
      <c r="BC191" s="551"/>
      <c r="BD191" s="551"/>
      <c r="BE191" s="551"/>
      <c r="BF191" s="551"/>
      <c r="BG191" s="551"/>
      <c r="BH191" s="551"/>
      <c r="BI191" s="551"/>
      <c r="BJ191" s="551"/>
      <c r="BK191" s="551"/>
      <c r="BL191" s="551"/>
      <c r="BM191" s="551"/>
      <c r="BN191" s="551"/>
      <c r="BO191" s="551"/>
      <c r="BP191" s="551"/>
      <c r="BQ191" s="551"/>
      <c r="BR191" s="551"/>
      <c r="BS191" s="551"/>
      <c r="BT191" s="551"/>
      <c r="BU191" s="551"/>
      <c r="BV191" s="551"/>
      <c r="BW191" s="551"/>
      <c r="BX191" s="551"/>
      <c r="BY191" s="551"/>
      <c r="BZ191" s="551"/>
      <c r="CA191" s="551"/>
      <c r="CB191" s="551"/>
      <c r="CC191" s="551"/>
      <c r="CD191" s="551"/>
      <c r="CE191" s="551"/>
      <c r="CF191" s="551"/>
      <c r="CG191" s="551"/>
      <c r="CH191" s="551"/>
      <c r="CI191" s="551"/>
      <c r="CJ191" s="551"/>
      <c r="CK191" s="551"/>
      <c r="CL191" s="551"/>
      <c r="CM191" s="551"/>
      <c r="CN191" s="551"/>
      <c r="CO191" s="551"/>
      <c r="CP191" s="551"/>
      <c r="CQ191" s="551"/>
      <c r="CR191" s="551"/>
      <c r="CS191" s="551"/>
      <c r="CT191" s="551"/>
      <c r="CU191" s="551"/>
      <c r="CV191" s="551"/>
    </row>
    <row r="193" spans="1:100" ht="39.950000000000003" customHeight="1" x14ac:dyDescent="0.25">
      <c r="A193" s="552" t="s">
        <v>466</v>
      </c>
      <c r="B193" s="552"/>
      <c r="C193" s="552"/>
      <c r="D193" s="552"/>
      <c r="E193" s="552"/>
      <c r="F193" s="552"/>
      <c r="G193" s="552"/>
      <c r="H193" s="552"/>
      <c r="I193" s="552"/>
      <c r="J193" s="552"/>
      <c r="K193" s="552"/>
      <c r="L193" s="552"/>
      <c r="M193" s="552"/>
      <c r="N193" s="552"/>
      <c r="O193" s="552"/>
      <c r="P193" s="552"/>
      <c r="Q193" s="552"/>
      <c r="R193" s="552"/>
      <c r="S193" s="552"/>
      <c r="T193" s="552"/>
      <c r="U193" s="552"/>
      <c r="V193" s="552"/>
      <c r="W193" s="552"/>
      <c r="X193" s="552"/>
      <c r="Y193" s="552"/>
      <c r="Z193" s="552"/>
      <c r="AA193" s="552"/>
      <c r="AB193" s="552"/>
      <c r="AC193" s="552"/>
      <c r="AD193" s="541" t="s">
        <v>467</v>
      </c>
      <c r="AE193" s="541"/>
      <c r="AF193" s="541"/>
      <c r="AG193" s="541"/>
      <c r="AH193" s="541"/>
      <c r="AI193" s="541"/>
      <c r="AJ193" s="541" t="s">
        <v>468</v>
      </c>
      <c r="AK193" s="541"/>
      <c r="AL193" s="541"/>
      <c r="AM193" s="541"/>
      <c r="AN193" s="541"/>
      <c r="AO193" s="541"/>
      <c r="AP193" s="553" t="s">
        <v>469</v>
      </c>
      <c r="AQ193" s="553"/>
      <c r="AR193" s="553"/>
      <c r="AS193" s="553"/>
      <c r="AT193" s="553"/>
      <c r="AU193" s="553"/>
    </row>
    <row r="194" spans="1:100" x14ac:dyDescent="0.25">
      <c r="A194" s="480" t="s">
        <v>180</v>
      </c>
      <c r="B194" s="480"/>
      <c r="C194" s="480"/>
      <c r="D194" s="480"/>
      <c r="E194" s="480"/>
      <c r="F194" s="480"/>
      <c r="G194" s="480"/>
      <c r="H194" s="480"/>
      <c r="I194" s="480"/>
      <c r="J194" s="480"/>
      <c r="K194" s="480"/>
      <c r="L194" s="480"/>
      <c r="M194" s="480"/>
      <c r="N194" s="480"/>
      <c r="O194" s="480"/>
      <c r="P194" s="480"/>
      <c r="Q194" s="480"/>
      <c r="R194" s="480"/>
      <c r="S194" s="480"/>
      <c r="T194" s="480"/>
      <c r="U194" s="480"/>
      <c r="V194" s="480"/>
      <c r="W194" s="480"/>
      <c r="X194" s="480"/>
      <c r="Y194" s="480"/>
      <c r="Z194" s="480"/>
      <c r="AA194" s="480"/>
      <c r="AB194" s="480"/>
      <c r="AC194" s="480"/>
      <c r="AD194" s="250" t="e">
        <f>COUNTIF(#REF!,"Cross Planning Initiatives")</f>
        <v>#REF!</v>
      </c>
      <c r="AE194" s="251"/>
      <c r="AF194" s="251"/>
      <c r="AG194" s="251"/>
      <c r="AH194" s="251"/>
      <c r="AI194" s="252"/>
      <c r="AJ194" s="537" t="e">
        <f xml:space="preserve"> SUMIF(#REF!,"Cross Planning Initiatives",#REF!)</f>
        <v>#REF!</v>
      </c>
      <c r="AK194" s="538"/>
      <c r="AL194" s="538"/>
      <c r="AM194" s="538"/>
      <c r="AN194" s="538"/>
      <c r="AO194" s="539"/>
      <c r="AP194" s="250" t="e">
        <f>COUNTIFS(#REF!,"Cross Planning Initiatives",#REF!,"YES")</f>
        <v>#REF!</v>
      </c>
      <c r="AQ194" s="251"/>
      <c r="AR194" s="251"/>
      <c r="AS194" s="251"/>
      <c r="AT194" s="251"/>
      <c r="AU194" s="252"/>
    </row>
    <row r="195" spans="1:100" x14ac:dyDescent="0.25">
      <c r="A195" s="480" t="s">
        <v>181</v>
      </c>
      <c r="B195" s="480"/>
      <c r="C195" s="480"/>
      <c r="D195" s="480"/>
      <c r="E195" s="480"/>
      <c r="F195" s="480"/>
      <c r="G195" s="480"/>
      <c r="H195" s="480"/>
      <c r="I195" s="480"/>
      <c r="J195" s="480"/>
      <c r="K195" s="480"/>
      <c r="L195" s="480"/>
      <c r="M195" s="480"/>
      <c r="N195" s="480"/>
      <c r="O195" s="480"/>
      <c r="P195" s="480"/>
      <c r="Q195" s="480"/>
      <c r="R195" s="480"/>
      <c r="S195" s="480"/>
      <c r="T195" s="480"/>
      <c r="U195" s="480"/>
      <c r="V195" s="480"/>
      <c r="W195" s="480"/>
      <c r="X195" s="480"/>
      <c r="Y195" s="480"/>
      <c r="Z195" s="480"/>
      <c r="AA195" s="480"/>
      <c r="AB195" s="480"/>
      <c r="AC195" s="480"/>
      <c r="AD195" s="250" t="e">
        <f>COUNTIF(#REF!,"Service Activity Implemented with other sectors")</f>
        <v>#REF!</v>
      </c>
      <c r="AE195" s="251"/>
      <c r="AF195" s="251"/>
      <c r="AG195" s="251"/>
      <c r="AH195" s="251"/>
      <c r="AI195" s="252"/>
      <c r="AJ195" s="537" t="e">
        <f xml:space="preserve"> SUMIF(#REF!,"Service Activity Implemented with other sectors",#REF!)</f>
        <v>#REF!</v>
      </c>
      <c r="AK195" s="538"/>
      <c r="AL195" s="538"/>
      <c r="AM195" s="538"/>
      <c r="AN195" s="538"/>
      <c r="AO195" s="539"/>
      <c r="AP195" s="250" t="e">
        <f>COUNTIFS(#REF!,"Service Activity Implemented with other sectors",#REF!,"YES")</f>
        <v>#REF!</v>
      </c>
      <c r="AQ195" s="251"/>
      <c r="AR195" s="251"/>
      <c r="AS195" s="251"/>
      <c r="AT195" s="251"/>
      <c r="AU195" s="252"/>
    </row>
    <row r="196" spans="1:100" x14ac:dyDescent="0.25">
      <c r="A196" s="480" t="s">
        <v>182</v>
      </c>
      <c r="B196" s="480"/>
      <c r="C196" s="480"/>
      <c r="D196" s="480"/>
      <c r="E196" s="480"/>
      <c r="F196" s="480"/>
      <c r="G196" s="480"/>
      <c r="H196" s="480"/>
      <c r="I196" s="480"/>
      <c r="J196" s="480"/>
      <c r="K196" s="480"/>
      <c r="L196" s="480"/>
      <c r="M196" s="480"/>
      <c r="N196" s="480"/>
      <c r="O196" s="480"/>
      <c r="P196" s="480"/>
      <c r="Q196" s="480"/>
      <c r="R196" s="480"/>
      <c r="S196" s="480"/>
      <c r="T196" s="480"/>
      <c r="U196" s="480"/>
      <c r="V196" s="480"/>
      <c r="W196" s="480"/>
      <c r="X196" s="480"/>
      <c r="Y196" s="480"/>
      <c r="Z196" s="480"/>
      <c r="AA196" s="480"/>
      <c r="AB196" s="480"/>
      <c r="AC196" s="480"/>
      <c r="AD196" s="250" t="e">
        <f>COUNTIF(#REF!,"Meeting Attended ")</f>
        <v>#REF!</v>
      </c>
      <c r="AE196" s="251"/>
      <c r="AF196" s="251"/>
      <c r="AG196" s="251"/>
      <c r="AH196" s="251"/>
      <c r="AI196" s="252"/>
      <c r="AJ196" s="537" t="e">
        <f xml:space="preserve"> SUMIF(#REF!,"Meeting Attended ",#REF!)</f>
        <v>#REF!</v>
      </c>
      <c r="AK196" s="538"/>
      <c r="AL196" s="538"/>
      <c r="AM196" s="538"/>
      <c r="AN196" s="538"/>
      <c r="AO196" s="539"/>
      <c r="AP196" s="250" t="e">
        <f>COUNTIFS(#REF!,"Meeting Attended ",#REF!,"YES")</f>
        <v>#REF!</v>
      </c>
      <c r="AQ196" s="251"/>
      <c r="AR196" s="251"/>
      <c r="AS196" s="251"/>
      <c r="AT196" s="251"/>
      <c r="AU196" s="252"/>
    </row>
    <row r="197" spans="1:100" x14ac:dyDescent="0.25">
      <c r="A197" s="480" t="s">
        <v>183</v>
      </c>
      <c r="B197" s="480"/>
      <c r="C197" s="480"/>
      <c r="D197" s="480"/>
      <c r="E197" s="480"/>
      <c r="F197" s="480"/>
      <c r="G197" s="480"/>
      <c r="H197" s="480"/>
      <c r="I197" s="480"/>
      <c r="J197" s="480"/>
      <c r="K197" s="480"/>
      <c r="L197" s="480"/>
      <c r="M197" s="480"/>
      <c r="N197" s="480"/>
      <c r="O197" s="480"/>
      <c r="P197" s="480"/>
      <c r="Q197" s="480"/>
      <c r="R197" s="480"/>
      <c r="S197" s="480"/>
      <c r="T197" s="480"/>
      <c r="U197" s="480"/>
      <c r="V197" s="480"/>
      <c r="W197" s="480"/>
      <c r="X197" s="480"/>
      <c r="Y197" s="480"/>
      <c r="Z197" s="480"/>
      <c r="AA197" s="480"/>
      <c r="AB197" s="480"/>
      <c r="AC197" s="480"/>
      <c r="AD197" s="250" t="e">
        <f>COUNTIF(#REF!,"Specific Activities with goal  to Reach High-Risk Populations (Specify Population in Notes)")</f>
        <v>#REF!</v>
      </c>
      <c r="AE197" s="251"/>
      <c r="AF197" s="251"/>
      <c r="AG197" s="251"/>
      <c r="AH197" s="251"/>
      <c r="AI197" s="252"/>
      <c r="AJ197" s="537" t="e">
        <f xml:space="preserve"> SUMIF(#REF!,"Specific Activities with goal  to Reach High-Risk Populations (Specify Population in Notes)",#REF!)</f>
        <v>#REF!</v>
      </c>
      <c r="AK197" s="538"/>
      <c r="AL197" s="538"/>
      <c r="AM197" s="538"/>
      <c r="AN197" s="538"/>
      <c r="AO197" s="539"/>
      <c r="AP197" s="250" t="e">
        <f>COUNTIFS(#REF!,"Specific Activities with goal  to Reach High-Risk Populations (Specify Population in Notes)",#REF!,"YES")</f>
        <v>#REF!</v>
      </c>
      <c r="AQ197" s="251"/>
      <c r="AR197" s="251"/>
      <c r="AS197" s="251"/>
      <c r="AT197" s="251"/>
      <c r="AU197" s="252"/>
    </row>
    <row r="198" spans="1:100" x14ac:dyDescent="0.25">
      <c r="A198" s="480" t="s">
        <v>184</v>
      </c>
      <c r="B198" s="480"/>
      <c r="C198" s="480"/>
      <c r="D198" s="480"/>
      <c r="E198" s="480"/>
      <c r="F198" s="480"/>
      <c r="G198" s="480"/>
      <c r="H198" s="480"/>
      <c r="I198" s="480"/>
      <c r="J198" s="480"/>
      <c r="K198" s="480"/>
      <c r="L198" s="480"/>
      <c r="M198" s="480"/>
      <c r="N198" s="480"/>
      <c r="O198" s="480"/>
      <c r="P198" s="480"/>
      <c r="Q198" s="480"/>
      <c r="R198" s="480"/>
      <c r="S198" s="480"/>
      <c r="T198" s="480"/>
      <c r="U198" s="480"/>
      <c r="V198" s="480"/>
      <c r="W198" s="480"/>
      <c r="X198" s="480"/>
      <c r="Y198" s="480"/>
      <c r="Z198" s="480"/>
      <c r="AA198" s="480"/>
      <c r="AB198" s="480"/>
      <c r="AC198" s="480"/>
      <c r="AD198" s="250" t="e">
        <f>COUNTIF(#REF!,"Peer Reviews")</f>
        <v>#REF!</v>
      </c>
      <c r="AE198" s="251"/>
      <c r="AF198" s="251"/>
      <c r="AG198" s="251"/>
      <c r="AH198" s="251"/>
      <c r="AI198" s="252"/>
      <c r="AJ198" s="537" t="e">
        <f xml:space="preserve"> SUMIF(#REF!,"Peer Reviews",#REF!)</f>
        <v>#REF!</v>
      </c>
      <c r="AK198" s="538"/>
      <c r="AL198" s="538"/>
      <c r="AM198" s="538"/>
      <c r="AN198" s="538"/>
      <c r="AO198" s="539"/>
      <c r="AP198" s="537" t="e">
        <f>COUNTIFS(#REF!,"Peer Reviews",#REF!,"YES")</f>
        <v>#REF!</v>
      </c>
      <c r="AQ198" s="538"/>
      <c r="AR198" s="538"/>
      <c r="AS198" s="538"/>
      <c r="AT198" s="538"/>
      <c r="AU198" s="539"/>
    </row>
    <row r="199" spans="1:100" x14ac:dyDescent="0.25">
      <c r="A199" s="480" t="s">
        <v>185</v>
      </c>
      <c r="B199" s="480"/>
      <c r="C199" s="480"/>
      <c r="D199" s="480"/>
      <c r="E199" s="480"/>
      <c r="F199" s="480"/>
      <c r="G199" s="480"/>
      <c r="H199" s="480"/>
      <c r="I199" s="480"/>
      <c r="J199" s="480"/>
      <c r="K199" s="480"/>
      <c r="L199" s="480"/>
      <c r="M199" s="480"/>
      <c r="N199" s="480"/>
      <c r="O199" s="480"/>
      <c r="P199" s="480"/>
      <c r="Q199" s="480"/>
      <c r="R199" s="480"/>
      <c r="S199" s="480"/>
      <c r="T199" s="480"/>
      <c r="U199" s="480"/>
      <c r="V199" s="480"/>
      <c r="W199" s="480"/>
      <c r="X199" s="480"/>
      <c r="Y199" s="480"/>
      <c r="Z199" s="480"/>
      <c r="AA199" s="480"/>
      <c r="AB199" s="480"/>
      <c r="AC199" s="480"/>
      <c r="AD199" s="250" t="e">
        <f>COUNTIF(#REF!,"Peer Support Groups")</f>
        <v>#REF!</v>
      </c>
      <c r="AE199" s="251"/>
      <c r="AF199" s="251"/>
      <c r="AG199" s="251"/>
      <c r="AH199" s="251"/>
      <c r="AI199" s="252"/>
      <c r="AJ199" s="537" t="e">
        <f xml:space="preserve"> SUMIF(#REF!,"Peer Support Groups",#REF!)</f>
        <v>#REF!</v>
      </c>
      <c r="AK199" s="538"/>
      <c r="AL199" s="538"/>
      <c r="AM199" s="538"/>
      <c r="AN199" s="538"/>
      <c r="AO199" s="539"/>
      <c r="AP199" s="250" t="e">
        <f>COUNTIFS(#REF!,"Peer Support Groups",#REF!,"YES")</f>
        <v>#REF!</v>
      </c>
      <c r="AQ199" s="251"/>
      <c r="AR199" s="251"/>
      <c r="AS199" s="251"/>
      <c r="AT199" s="251"/>
      <c r="AU199" s="252"/>
    </row>
    <row r="200" spans="1:100" x14ac:dyDescent="0.25">
      <c r="A200" s="480" t="s">
        <v>186</v>
      </c>
      <c r="B200" s="480"/>
      <c r="C200" s="480"/>
      <c r="D200" s="480"/>
      <c r="E200" s="480"/>
      <c r="F200" s="480"/>
      <c r="G200" s="480"/>
      <c r="H200" s="480"/>
      <c r="I200" s="480"/>
      <c r="J200" s="480"/>
      <c r="K200" s="480"/>
      <c r="L200" s="480"/>
      <c r="M200" s="480"/>
      <c r="N200" s="480"/>
      <c r="O200" s="480"/>
      <c r="P200" s="480"/>
      <c r="Q200" s="480"/>
      <c r="R200" s="480"/>
      <c r="S200" s="480"/>
      <c r="T200" s="480"/>
      <c r="U200" s="480"/>
      <c r="V200" s="480"/>
      <c r="W200" s="480"/>
      <c r="X200" s="480"/>
      <c r="Y200" s="480"/>
      <c r="Z200" s="480"/>
      <c r="AA200" s="480"/>
      <c r="AB200" s="480"/>
      <c r="AC200" s="480"/>
      <c r="AD200" s="250" t="e">
        <f>COUNTIF(#REF!,"Coalitions")</f>
        <v>#REF!</v>
      </c>
      <c r="AE200" s="251"/>
      <c r="AF200" s="251"/>
      <c r="AG200" s="251"/>
      <c r="AH200" s="251"/>
      <c r="AI200" s="252"/>
      <c r="AJ200" s="537" t="e">
        <f xml:space="preserve"> SUMIF(#REF!,"Coalitions",#REF!)</f>
        <v>#REF!</v>
      </c>
      <c r="AK200" s="538"/>
      <c r="AL200" s="538"/>
      <c r="AM200" s="538"/>
      <c r="AN200" s="538"/>
      <c r="AO200" s="539"/>
      <c r="AP200" s="250" t="e">
        <f>COUNTIFS(#REF!,"Coalitions",#REF!,"YES")</f>
        <v>#REF!</v>
      </c>
      <c r="AQ200" s="251"/>
      <c r="AR200" s="251"/>
      <c r="AS200" s="251"/>
      <c r="AT200" s="251"/>
      <c r="AU200" s="252"/>
    </row>
    <row r="201" spans="1:100" x14ac:dyDescent="0.25">
      <c r="A201" s="480" t="s">
        <v>187</v>
      </c>
      <c r="B201" s="480"/>
      <c r="C201" s="480"/>
      <c r="D201" s="480"/>
      <c r="E201" s="480"/>
      <c r="F201" s="480"/>
      <c r="G201" s="480"/>
      <c r="H201" s="480"/>
      <c r="I201" s="480"/>
      <c r="J201" s="480"/>
      <c r="K201" s="480"/>
      <c r="L201" s="480"/>
      <c r="M201" s="480"/>
      <c r="N201" s="480"/>
      <c r="O201" s="480"/>
      <c r="P201" s="480"/>
      <c r="Q201" s="480"/>
      <c r="R201" s="480"/>
      <c r="S201" s="480"/>
      <c r="T201" s="480"/>
      <c r="U201" s="480"/>
      <c r="V201" s="480"/>
      <c r="W201" s="480"/>
      <c r="X201" s="480"/>
      <c r="Y201" s="480"/>
      <c r="Z201" s="480"/>
      <c r="AA201" s="480"/>
      <c r="AB201" s="480"/>
      <c r="AC201" s="480"/>
      <c r="AD201" s="250" t="e">
        <f>COUNTIF(#REF!,"Materials Distributed (specify kind &amp; amount in notes) ")</f>
        <v>#REF!</v>
      </c>
      <c r="AE201" s="251"/>
      <c r="AF201" s="251"/>
      <c r="AG201" s="251"/>
      <c r="AH201" s="251"/>
      <c r="AI201" s="252"/>
      <c r="AJ201" s="537" t="e">
        <f xml:space="preserve"> SUMIF(#REF!,"Materials Distributed (specify kind &amp; amount in notes) ",#REF!)</f>
        <v>#REF!</v>
      </c>
      <c r="AK201" s="538"/>
      <c r="AL201" s="538"/>
      <c r="AM201" s="538"/>
      <c r="AN201" s="538"/>
      <c r="AO201" s="539"/>
      <c r="AP201" s="250" t="e">
        <f>COUNTIFS(#REF!,"Materials Distributed (specify kind &amp; amount in notes) ",#REF!,"YES")</f>
        <v>#REF!</v>
      </c>
      <c r="AQ201" s="251"/>
      <c r="AR201" s="251"/>
      <c r="AS201" s="251"/>
      <c r="AT201" s="251"/>
      <c r="AU201" s="252"/>
    </row>
    <row r="202" spans="1:100" x14ac:dyDescent="0.25">
      <c r="A202" s="480" t="s">
        <v>188</v>
      </c>
      <c r="B202" s="480"/>
      <c r="C202" s="480"/>
      <c r="D202" s="480"/>
      <c r="E202" s="480"/>
      <c r="F202" s="480"/>
      <c r="G202" s="480"/>
      <c r="H202" s="480"/>
      <c r="I202" s="480"/>
      <c r="J202" s="480"/>
      <c r="K202" s="480"/>
      <c r="L202" s="480"/>
      <c r="M202" s="480"/>
      <c r="N202" s="480"/>
      <c r="O202" s="480"/>
      <c r="P202" s="480"/>
      <c r="Q202" s="480"/>
      <c r="R202" s="480"/>
      <c r="S202" s="480"/>
      <c r="T202" s="480"/>
      <c r="U202" s="480"/>
      <c r="V202" s="480"/>
      <c r="W202" s="480"/>
      <c r="X202" s="480"/>
      <c r="Y202" s="480"/>
      <c r="Z202" s="480"/>
      <c r="AA202" s="480"/>
      <c r="AB202" s="480"/>
      <c r="AC202" s="480"/>
      <c r="AD202" s="250" t="e">
        <f>COUNTIF(#REF!,"Other (Specify in Notes) ")</f>
        <v>#REF!</v>
      </c>
      <c r="AE202" s="251"/>
      <c r="AF202" s="251"/>
      <c r="AG202" s="251"/>
      <c r="AH202" s="251"/>
      <c r="AI202" s="252"/>
      <c r="AJ202" s="537" t="e">
        <f xml:space="preserve"> SUMIF(#REF!,"Other (Specify in Notes) ",#REF!)</f>
        <v>#REF!</v>
      </c>
      <c r="AK202" s="538"/>
      <c r="AL202" s="538"/>
      <c r="AM202" s="538"/>
      <c r="AN202" s="538"/>
      <c r="AO202" s="539"/>
      <c r="AP202" s="250" t="e">
        <f>COUNTIFS(#REF!,"Other (Specify in Notes) ",#REF!,"YES")</f>
        <v>#REF!</v>
      </c>
      <c r="AQ202" s="251"/>
      <c r="AR202" s="251"/>
      <c r="AS202" s="251"/>
      <c r="AT202" s="251"/>
      <c r="AU202" s="252"/>
    </row>
    <row r="203" spans="1:100" x14ac:dyDescent="0.25">
      <c r="A203" s="480"/>
      <c r="B203" s="480"/>
      <c r="C203" s="480"/>
      <c r="D203" s="480"/>
      <c r="E203" s="480"/>
      <c r="F203" s="480"/>
      <c r="G203" s="480"/>
      <c r="H203" s="480"/>
      <c r="I203" s="480"/>
      <c r="J203" s="480"/>
      <c r="K203" s="480"/>
      <c r="L203" s="480"/>
      <c r="M203" s="480"/>
      <c r="N203" s="480"/>
      <c r="O203" s="480"/>
      <c r="P203" s="480"/>
      <c r="Q203" s="480"/>
      <c r="R203" s="480"/>
      <c r="S203" s="480"/>
      <c r="T203" s="480"/>
      <c r="U203" s="480"/>
      <c r="V203" s="480"/>
      <c r="W203" s="480"/>
      <c r="X203" s="480"/>
      <c r="Y203" s="480"/>
      <c r="Z203" s="480"/>
      <c r="AA203" s="480"/>
      <c r="AB203" s="480"/>
      <c r="AC203" s="480"/>
      <c r="AD203" s="250"/>
      <c r="AE203" s="251"/>
      <c r="AF203" s="251"/>
      <c r="AG203" s="251"/>
      <c r="AH203" s="251"/>
      <c r="AI203" s="252"/>
      <c r="AJ203" s="394"/>
      <c r="AK203" s="395"/>
      <c r="AL203" s="395"/>
      <c r="AM203" s="395"/>
      <c r="AN203" s="395"/>
      <c r="AO203" s="396"/>
      <c r="AP203" s="394"/>
      <c r="AQ203" s="395"/>
      <c r="AR203" s="395"/>
      <c r="AS203" s="395"/>
      <c r="AT203" s="395"/>
      <c r="AU203" s="396"/>
    </row>
    <row r="204" spans="1:100" ht="24.95" customHeight="1" x14ac:dyDescent="0.3">
      <c r="A204" s="570" t="s">
        <v>123</v>
      </c>
      <c r="B204" s="570"/>
      <c r="C204" s="570"/>
      <c r="D204" s="570"/>
      <c r="E204" s="570"/>
      <c r="F204" s="570"/>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54" t="e">
        <f>SUM(AD194:AD203)</f>
        <v>#REF!</v>
      </c>
      <c r="AE204" s="554"/>
      <c r="AF204" s="554"/>
      <c r="AG204" s="554"/>
      <c r="AH204" s="554"/>
      <c r="AI204" s="554"/>
      <c r="AJ204" s="554" t="e">
        <f>SUM(AJ194:AJ203)</f>
        <v>#REF!</v>
      </c>
      <c r="AK204" s="554"/>
      <c r="AL204" s="554"/>
      <c r="AM204" s="554"/>
      <c r="AN204" s="554"/>
      <c r="AO204" s="554"/>
      <c r="AP204" s="554" t="e">
        <f>SUM(AP194:AP203)</f>
        <v>#REF!</v>
      </c>
      <c r="AQ204" s="554"/>
      <c r="AR204" s="554"/>
      <c r="AS204" s="554"/>
      <c r="AT204" s="554"/>
      <c r="AU204" s="554"/>
    </row>
    <row r="208" spans="1:100" ht="18.75" x14ac:dyDescent="0.3">
      <c r="A208" s="577" t="s">
        <v>470</v>
      </c>
      <c r="B208" s="577"/>
      <c r="C208" s="577"/>
      <c r="D208" s="577"/>
      <c r="E208" s="577"/>
      <c r="F208" s="577"/>
      <c r="G208" s="577"/>
      <c r="H208" s="577"/>
      <c r="I208" s="577"/>
      <c r="J208" s="577"/>
      <c r="K208" s="577"/>
      <c r="L208" s="577"/>
      <c r="M208" s="577"/>
      <c r="N208" s="577"/>
      <c r="O208" s="577"/>
      <c r="P208" s="577"/>
      <c r="Q208" s="577"/>
      <c r="R208" s="577"/>
      <c r="S208" s="577"/>
      <c r="T208" s="577"/>
      <c r="U208" s="577"/>
      <c r="V208" s="577"/>
      <c r="W208" s="577"/>
      <c r="X208" s="577"/>
      <c r="Y208" s="577"/>
      <c r="Z208" s="577"/>
      <c r="AA208" s="577"/>
      <c r="AB208" s="577"/>
      <c r="AC208" s="577"/>
      <c r="AD208" s="577"/>
      <c r="AE208" s="577"/>
      <c r="AF208" s="577"/>
      <c r="AG208" s="577"/>
      <c r="AH208" s="577"/>
      <c r="AI208" s="577"/>
      <c r="AJ208" s="577"/>
      <c r="AK208" s="577"/>
      <c r="AL208" s="577"/>
      <c r="AM208" s="577"/>
      <c r="AN208" s="577"/>
      <c r="AO208" s="577"/>
      <c r="AP208" s="577"/>
      <c r="AQ208" s="577"/>
      <c r="AR208" s="577"/>
      <c r="AS208" s="577"/>
      <c r="AT208" s="577"/>
      <c r="AU208" s="577"/>
      <c r="AV208" s="577"/>
      <c r="AW208" s="577"/>
      <c r="AX208" s="577"/>
      <c r="AY208" s="577"/>
      <c r="AZ208" s="577"/>
      <c r="BA208" s="577"/>
      <c r="BB208" s="577"/>
      <c r="BC208" s="577"/>
      <c r="BD208" s="577"/>
      <c r="BE208" s="577"/>
      <c r="BF208" s="577"/>
      <c r="BG208" s="577"/>
      <c r="BH208" s="577"/>
      <c r="BI208" s="577"/>
      <c r="BJ208" s="577"/>
      <c r="BK208" s="577"/>
      <c r="BL208" s="577"/>
      <c r="BM208" s="577"/>
      <c r="BN208" s="577"/>
      <c r="BO208" s="577"/>
      <c r="BP208" s="577"/>
      <c r="BQ208" s="577"/>
      <c r="BR208" s="577"/>
      <c r="BS208" s="577"/>
      <c r="BT208" s="577"/>
      <c r="BU208" s="577"/>
      <c r="BV208" s="577"/>
      <c r="BW208" s="577"/>
      <c r="BX208" s="577"/>
      <c r="BY208" s="577"/>
      <c r="BZ208" s="577"/>
      <c r="CA208" s="577"/>
      <c r="CB208" s="577"/>
      <c r="CC208" s="577"/>
      <c r="CD208" s="577"/>
      <c r="CE208" s="577"/>
      <c r="CF208" s="577"/>
      <c r="CG208" s="577"/>
      <c r="CH208" s="577"/>
      <c r="CI208" s="577"/>
      <c r="CJ208" s="577"/>
      <c r="CK208" s="577"/>
      <c r="CL208" s="577"/>
      <c r="CM208" s="577"/>
      <c r="CN208" s="577"/>
      <c r="CO208" s="577"/>
      <c r="CP208" s="577"/>
      <c r="CQ208" s="577"/>
      <c r="CR208" s="577"/>
      <c r="CS208" s="577"/>
      <c r="CT208" s="577"/>
      <c r="CU208" s="577"/>
      <c r="CV208" s="577"/>
    </row>
    <row r="210" spans="1:77" x14ac:dyDescent="0.25">
      <c r="A210" s="578" t="s">
        <v>471</v>
      </c>
      <c r="B210" s="578"/>
      <c r="C210" s="578"/>
      <c r="D210" s="578"/>
      <c r="E210" s="578"/>
      <c r="F210" s="578"/>
      <c r="G210" s="578"/>
      <c r="H210" s="578"/>
      <c r="I210" s="578"/>
      <c r="J210" s="578"/>
      <c r="K210" s="579" t="s">
        <v>472</v>
      </c>
      <c r="L210" s="580"/>
      <c r="M210" s="580"/>
      <c r="N210" s="580"/>
      <c r="O210" s="580"/>
      <c r="P210" s="580"/>
      <c r="Q210" s="580"/>
      <c r="R210" s="581"/>
      <c r="S210" s="579" t="s">
        <v>473</v>
      </c>
      <c r="T210" s="580"/>
      <c r="U210" s="580"/>
      <c r="V210" s="580"/>
      <c r="W210" s="580"/>
      <c r="X210" s="580"/>
      <c r="Y210" s="580"/>
      <c r="Z210" s="580"/>
      <c r="AA210" s="580"/>
      <c r="AB210" s="580"/>
      <c r="AC210" s="580"/>
      <c r="AD210" s="580"/>
      <c r="AE210" s="580"/>
      <c r="AF210" s="580"/>
      <c r="AG210" s="580"/>
      <c r="AH210" s="580"/>
      <c r="AI210" s="580"/>
      <c r="AJ210" s="581"/>
      <c r="AK210" s="571" t="s">
        <v>278</v>
      </c>
      <c r="AL210" s="572"/>
      <c r="AM210" s="572"/>
      <c r="AN210" s="572"/>
      <c r="AO210" s="572"/>
      <c r="AP210" s="572"/>
      <c r="AQ210" s="572"/>
      <c r="AR210" s="573"/>
      <c r="AS210" s="574" t="s">
        <v>476</v>
      </c>
      <c r="AT210" s="575"/>
      <c r="AU210" s="575"/>
      <c r="AV210" s="575"/>
      <c r="AW210" s="575"/>
      <c r="AX210" s="575"/>
      <c r="AY210" s="575"/>
      <c r="AZ210" s="575"/>
      <c r="BA210" s="575"/>
      <c r="BB210" s="575"/>
      <c r="BC210" s="575"/>
      <c r="BD210" s="575"/>
      <c r="BE210" s="575"/>
      <c r="BF210" s="575"/>
      <c r="BG210" s="575"/>
      <c r="BH210" s="575"/>
      <c r="BI210" s="575"/>
      <c r="BJ210" s="575"/>
      <c r="BK210" s="575"/>
      <c r="BL210" s="575"/>
      <c r="BM210" s="575"/>
      <c r="BN210" s="575"/>
      <c r="BO210" s="575"/>
      <c r="BP210" s="575"/>
      <c r="BQ210" s="575"/>
      <c r="BR210" s="576"/>
      <c r="BS210" s="567" t="s">
        <v>93</v>
      </c>
      <c r="BT210" s="568"/>
      <c r="BU210" s="568"/>
      <c r="BV210" s="568"/>
      <c r="BW210" s="568"/>
      <c r="BX210" s="568"/>
      <c r="BY210" s="569"/>
    </row>
    <row r="211" spans="1:77" x14ac:dyDescent="0.25">
      <c r="A211" s="561" t="s">
        <v>220</v>
      </c>
      <c r="B211" s="562"/>
      <c r="C211" s="562"/>
      <c r="D211" s="562"/>
      <c r="E211" s="562"/>
      <c r="F211" s="562"/>
      <c r="G211" s="562"/>
      <c r="H211" s="562"/>
      <c r="I211" s="562"/>
      <c r="J211" s="563"/>
      <c r="K211" s="250">
        <f>COUNTIFS('CONSUMER FEEDBACK '!E12:E5000,"Focus Group")</f>
        <v>0</v>
      </c>
      <c r="L211" s="251"/>
      <c r="M211" s="251"/>
      <c r="N211" s="251"/>
      <c r="O211" s="251"/>
      <c r="P211" s="251"/>
      <c r="Q211" s="251"/>
      <c r="R211" s="252"/>
      <c r="S211" s="555" t="s">
        <v>310</v>
      </c>
      <c r="T211" s="556"/>
      <c r="U211" s="556"/>
      <c r="V211" s="556"/>
      <c r="W211" s="556"/>
      <c r="X211" s="556"/>
      <c r="Y211" s="556"/>
      <c r="Z211" s="556"/>
      <c r="AA211" s="556"/>
      <c r="AB211" s="556"/>
      <c r="AC211" s="556"/>
      <c r="AD211" s="556"/>
      <c r="AE211" s="556"/>
      <c r="AF211" s="556"/>
      <c r="AG211" s="556"/>
      <c r="AH211" s="556"/>
      <c r="AI211" s="556"/>
      <c r="AJ211" s="557"/>
      <c r="AK211" s="250">
        <f>COUNTIFS('CONSUMER FEEDBACK '!H12:H5000,"Service Rendered")</f>
        <v>0</v>
      </c>
      <c r="AL211" s="251"/>
      <c r="AM211" s="251"/>
      <c r="AN211" s="251"/>
      <c r="AO211" s="251"/>
      <c r="AP211" s="251"/>
      <c r="AQ211" s="251"/>
      <c r="AR211" s="252"/>
      <c r="AS211" s="555" t="s">
        <v>310</v>
      </c>
      <c r="AT211" s="556"/>
      <c r="AU211" s="556"/>
      <c r="AV211" s="556"/>
      <c r="AW211" s="556"/>
      <c r="AX211" s="556"/>
      <c r="AY211" s="556"/>
      <c r="AZ211" s="556"/>
      <c r="BA211" s="556"/>
      <c r="BB211" s="556"/>
      <c r="BC211" s="556"/>
      <c r="BD211" s="556"/>
      <c r="BE211" s="556"/>
      <c r="BF211" s="556"/>
      <c r="BG211" s="556"/>
      <c r="BH211" s="556"/>
      <c r="BI211" s="556"/>
      <c r="BJ211" s="556"/>
      <c r="BK211" s="556"/>
      <c r="BL211" s="556"/>
      <c r="BM211" s="556"/>
      <c r="BN211" s="556"/>
      <c r="BO211" s="556"/>
      <c r="BP211" s="556"/>
      <c r="BQ211" s="556"/>
      <c r="BR211" s="557"/>
      <c r="BS211" s="537">
        <f>COUNTIFS('CONSUMER FEEDBACK '!H12:H5000,"Service Rendered",'CONSUMER FEEDBACK '!L12:L5000,"YES")</f>
        <v>0</v>
      </c>
      <c r="BT211" s="538"/>
      <c r="BU211" s="538"/>
      <c r="BV211" s="538"/>
      <c r="BW211" s="538"/>
      <c r="BX211" s="538"/>
      <c r="BY211" s="539"/>
    </row>
    <row r="212" spans="1:77" x14ac:dyDescent="0.25">
      <c r="A212" s="561" t="s">
        <v>221</v>
      </c>
      <c r="B212" s="562"/>
      <c r="C212" s="562"/>
      <c r="D212" s="562"/>
      <c r="E212" s="562"/>
      <c r="F212" s="562"/>
      <c r="G212" s="562"/>
      <c r="H212" s="562"/>
      <c r="I212" s="562"/>
      <c r="J212" s="563"/>
      <c r="K212" s="250">
        <f>COUNTIFS('CONSUMER FEEDBACK '!E12:E5000,"Key-informant interview")</f>
        <v>0</v>
      </c>
      <c r="L212" s="251"/>
      <c r="M212" s="251"/>
      <c r="N212" s="251"/>
      <c r="O212" s="251"/>
      <c r="P212" s="251"/>
      <c r="Q212" s="251"/>
      <c r="R212" s="252"/>
      <c r="S212" s="555" t="s">
        <v>474</v>
      </c>
      <c r="T212" s="556"/>
      <c r="U212" s="556"/>
      <c r="V212" s="556"/>
      <c r="W212" s="556"/>
      <c r="X212" s="556"/>
      <c r="Y212" s="556"/>
      <c r="Z212" s="556"/>
      <c r="AA212" s="556"/>
      <c r="AB212" s="556"/>
      <c r="AC212" s="556"/>
      <c r="AD212" s="556"/>
      <c r="AE212" s="556"/>
      <c r="AF212" s="556"/>
      <c r="AG212" s="556"/>
      <c r="AH212" s="556"/>
      <c r="AI212" s="556"/>
      <c r="AJ212" s="557"/>
      <c r="AK212" s="250">
        <f>COUNTIFS('CONSUMER FEEDBACK '!H12:H5000,"Information that was received")</f>
        <v>0</v>
      </c>
      <c r="AL212" s="251"/>
      <c r="AM212" s="251"/>
      <c r="AN212" s="251"/>
      <c r="AO212" s="251"/>
      <c r="AP212" s="251"/>
      <c r="AQ212" s="251"/>
      <c r="AR212" s="252"/>
      <c r="AS212" s="555" t="s">
        <v>474</v>
      </c>
      <c r="AT212" s="556"/>
      <c r="AU212" s="556"/>
      <c r="AV212" s="556"/>
      <c r="AW212" s="556"/>
      <c r="AX212" s="556"/>
      <c r="AY212" s="556"/>
      <c r="AZ212" s="556"/>
      <c r="BA212" s="556"/>
      <c r="BB212" s="556"/>
      <c r="BC212" s="556"/>
      <c r="BD212" s="556"/>
      <c r="BE212" s="556"/>
      <c r="BF212" s="556"/>
      <c r="BG212" s="556"/>
      <c r="BH212" s="556"/>
      <c r="BI212" s="556"/>
      <c r="BJ212" s="556"/>
      <c r="BK212" s="556"/>
      <c r="BL212" s="556"/>
      <c r="BM212" s="556"/>
      <c r="BN212" s="556"/>
      <c r="BO212" s="556"/>
      <c r="BP212" s="556"/>
      <c r="BQ212" s="556"/>
      <c r="BR212" s="557"/>
      <c r="BS212" s="537">
        <f>COUNTIFS('CONSUMER FEEDBACK '!H12:H5000,"Information that was received",'CONSUMER FEEDBACK '!L12:L5000,"YES")</f>
        <v>0</v>
      </c>
      <c r="BT212" s="538"/>
      <c r="BU212" s="538"/>
      <c r="BV212" s="538"/>
      <c r="BW212" s="538"/>
      <c r="BX212" s="538"/>
      <c r="BY212" s="539"/>
    </row>
    <row r="213" spans="1:77" x14ac:dyDescent="0.25">
      <c r="A213" s="561" t="s">
        <v>222</v>
      </c>
      <c r="B213" s="562"/>
      <c r="C213" s="562"/>
      <c r="D213" s="562"/>
      <c r="E213" s="562"/>
      <c r="F213" s="562"/>
      <c r="G213" s="562"/>
      <c r="H213" s="562"/>
      <c r="I213" s="562"/>
      <c r="J213" s="563"/>
      <c r="K213" s="250">
        <f>COUNTIFS('CONSUMER FEEDBACK '!E12:E5000,"Survey")</f>
        <v>0</v>
      </c>
      <c r="L213" s="251"/>
      <c r="M213" s="251"/>
      <c r="N213" s="251"/>
      <c r="O213" s="251"/>
      <c r="P213" s="251"/>
      <c r="Q213" s="251"/>
      <c r="R213" s="252"/>
      <c r="S213" s="558" t="s">
        <v>475</v>
      </c>
      <c r="T213" s="559"/>
      <c r="U213" s="559"/>
      <c r="V213" s="559"/>
      <c r="W213" s="559"/>
      <c r="X213" s="559"/>
      <c r="Y213" s="559"/>
      <c r="Z213" s="559"/>
      <c r="AA213" s="559"/>
      <c r="AB213" s="559"/>
      <c r="AC213" s="559"/>
      <c r="AD213" s="559"/>
      <c r="AE213" s="559"/>
      <c r="AF213" s="559"/>
      <c r="AG213" s="559"/>
      <c r="AH213" s="559"/>
      <c r="AI213" s="559"/>
      <c r="AJ213" s="560"/>
      <c r="AK213" s="250">
        <f>COUNTIFS('CONSUMER FEEDBACK '!H12:H5000,"Both Service Rendered and Information that was received ")</f>
        <v>0</v>
      </c>
      <c r="AL213" s="251"/>
      <c r="AM213" s="251"/>
      <c r="AN213" s="251"/>
      <c r="AO213" s="251"/>
      <c r="AP213" s="251"/>
      <c r="AQ213" s="251"/>
      <c r="AR213" s="252"/>
      <c r="AS213" s="558" t="s">
        <v>475</v>
      </c>
      <c r="AT213" s="559"/>
      <c r="AU213" s="559"/>
      <c r="AV213" s="559"/>
      <c r="AW213" s="559"/>
      <c r="AX213" s="559"/>
      <c r="AY213" s="559"/>
      <c r="AZ213" s="559"/>
      <c r="BA213" s="559"/>
      <c r="BB213" s="559"/>
      <c r="BC213" s="559"/>
      <c r="BD213" s="559"/>
      <c r="BE213" s="559"/>
      <c r="BF213" s="559"/>
      <c r="BG213" s="559"/>
      <c r="BH213" s="559"/>
      <c r="BI213" s="559"/>
      <c r="BJ213" s="559"/>
      <c r="BK213" s="559"/>
      <c r="BL213" s="559"/>
      <c r="BM213" s="559"/>
      <c r="BN213" s="559"/>
      <c r="BO213" s="559"/>
      <c r="BP213" s="559"/>
      <c r="BQ213" s="559"/>
      <c r="BR213" s="560"/>
      <c r="BS213" s="537">
        <f>COUNTIFS('CONSUMER FEEDBACK '!H12:H5000,"Both Service Rendered and Information that was received ",'CONSUMER FEEDBACK '!L12:L5000,"YES")</f>
        <v>0</v>
      </c>
      <c r="BT213" s="538"/>
      <c r="BU213" s="538"/>
      <c r="BV213" s="538"/>
      <c r="BW213" s="538"/>
      <c r="BX213" s="538"/>
      <c r="BY213" s="539"/>
    </row>
    <row r="214" spans="1:77" x14ac:dyDescent="0.25">
      <c r="A214" s="561" t="s">
        <v>223</v>
      </c>
      <c r="B214" s="562"/>
      <c r="C214" s="562"/>
      <c r="D214" s="562"/>
      <c r="E214" s="562"/>
      <c r="F214" s="562"/>
      <c r="G214" s="562"/>
      <c r="H214" s="562"/>
      <c r="I214" s="562"/>
      <c r="J214" s="563"/>
      <c r="K214" s="250">
        <f>COUNTIFS('CONSUMER FEEDBACK '!E12:E5000,"Other (specify in Note Section) ")</f>
        <v>0</v>
      </c>
      <c r="L214" s="251"/>
      <c r="M214" s="251"/>
      <c r="N214" s="251"/>
      <c r="O214" s="251"/>
      <c r="P214" s="251"/>
      <c r="Q214" s="251"/>
      <c r="R214" s="252"/>
      <c r="S214" s="561"/>
      <c r="T214" s="562"/>
      <c r="U214" s="562"/>
      <c r="V214" s="562"/>
      <c r="W214" s="562"/>
      <c r="X214" s="562"/>
      <c r="Y214" s="562"/>
      <c r="Z214" s="562"/>
      <c r="AA214" s="562"/>
      <c r="AB214" s="562"/>
      <c r="AC214" s="562"/>
      <c r="AD214" s="562"/>
      <c r="AE214" s="562"/>
      <c r="AF214" s="562"/>
      <c r="AG214" s="562"/>
      <c r="AH214" s="562"/>
      <c r="AI214" s="562"/>
      <c r="AJ214" s="563"/>
      <c r="AK214" s="250"/>
      <c r="AL214" s="251"/>
      <c r="AM214" s="251"/>
      <c r="AN214" s="251"/>
      <c r="AO214" s="251"/>
      <c r="AP214" s="251"/>
      <c r="AQ214" s="251"/>
      <c r="AR214" s="252"/>
      <c r="AS214" s="561"/>
      <c r="AT214" s="562"/>
      <c r="AU214" s="562"/>
      <c r="AV214" s="562"/>
      <c r="AW214" s="562"/>
      <c r="AX214" s="562"/>
      <c r="AY214" s="562"/>
      <c r="AZ214" s="562"/>
      <c r="BA214" s="562"/>
      <c r="BB214" s="562"/>
      <c r="BC214" s="562"/>
      <c r="BD214" s="562"/>
      <c r="BE214" s="562"/>
      <c r="BF214" s="562"/>
      <c r="BG214" s="562"/>
      <c r="BH214" s="562"/>
      <c r="BI214" s="562"/>
      <c r="BJ214" s="562"/>
      <c r="BK214" s="562"/>
      <c r="BL214" s="562"/>
      <c r="BM214" s="562"/>
      <c r="BN214" s="562"/>
      <c r="BO214" s="562"/>
      <c r="BP214" s="562"/>
      <c r="BQ214" s="562"/>
      <c r="BR214" s="563"/>
      <c r="BS214" s="537"/>
      <c r="BT214" s="538"/>
      <c r="BU214" s="538"/>
      <c r="BV214" s="538"/>
      <c r="BW214" s="538"/>
      <c r="BX214" s="538"/>
      <c r="BY214" s="539"/>
    </row>
    <row r="215" spans="1:77" ht="15.75" x14ac:dyDescent="0.25">
      <c r="A215" s="543" t="s">
        <v>123</v>
      </c>
      <c r="B215" s="543"/>
      <c r="C215" s="543"/>
      <c r="D215" s="543"/>
      <c r="E215" s="543"/>
      <c r="F215" s="543"/>
      <c r="G215" s="543"/>
      <c r="H215" s="543"/>
      <c r="I215" s="543"/>
      <c r="J215" s="543"/>
      <c r="K215" s="547">
        <f>SUM(K211:K214)</f>
        <v>0</v>
      </c>
      <c r="L215" s="548"/>
      <c r="M215" s="548"/>
      <c r="N215" s="548"/>
      <c r="O215" s="548"/>
      <c r="P215" s="548"/>
      <c r="Q215" s="548"/>
      <c r="R215" s="549"/>
      <c r="S215" s="564" t="s">
        <v>123</v>
      </c>
      <c r="T215" s="565"/>
      <c r="U215" s="565"/>
      <c r="V215" s="565"/>
      <c r="W215" s="565"/>
      <c r="X215" s="565"/>
      <c r="Y215" s="565"/>
      <c r="Z215" s="565"/>
      <c r="AA215" s="565"/>
      <c r="AB215" s="565"/>
      <c r="AC215" s="565"/>
      <c r="AD215" s="565"/>
      <c r="AE215" s="565"/>
      <c r="AF215" s="565"/>
      <c r="AG215" s="565"/>
      <c r="AH215" s="565"/>
      <c r="AI215" s="565"/>
      <c r="AJ215" s="566"/>
      <c r="AK215" s="544">
        <f>SUM(AK211:AK214)</f>
        <v>0</v>
      </c>
      <c r="AL215" s="545"/>
      <c r="AM215" s="545"/>
      <c r="AN215" s="545"/>
      <c r="AO215" s="545"/>
      <c r="AP215" s="545"/>
      <c r="AQ215" s="545"/>
      <c r="AR215" s="546"/>
      <c r="AS215" s="564" t="s">
        <v>123</v>
      </c>
      <c r="AT215" s="565"/>
      <c r="AU215" s="565"/>
      <c r="AV215" s="565"/>
      <c r="AW215" s="565"/>
      <c r="AX215" s="565"/>
      <c r="AY215" s="565"/>
      <c r="AZ215" s="565"/>
      <c r="BA215" s="565"/>
      <c r="BB215" s="565"/>
      <c r="BC215" s="565"/>
      <c r="BD215" s="565"/>
      <c r="BE215" s="565"/>
      <c r="BF215" s="565"/>
      <c r="BG215" s="565"/>
      <c r="BH215" s="565"/>
      <c r="BI215" s="565"/>
      <c r="BJ215" s="565"/>
      <c r="BK215" s="565"/>
      <c r="BL215" s="565"/>
      <c r="BM215" s="565"/>
      <c r="BN215" s="565"/>
      <c r="BO215" s="565"/>
      <c r="BP215" s="565"/>
      <c r="BQ215" s="565"/>
      <c r="BR215" s="566"/>
      <c r="BS215" s="544">
        <f>SUM(BS211:BS214)</f>
        <v>0</v>
      </c>
      <c r="BT215" s="545"/>
      <c r="BU215" s="545"/>
      <c r="BV215" s="545"/>
      <c r="BW215" s="545"/>
      <c r="BX215" s="545"/>
      <c r="BY215" s="546"/>
    </row>
  </sheetData>
  <mergeCells count="2538">
    <mergeCell ref="A201:AC201"/>
    <mergeCell ref="A202:AC202"/>
    <mergeCell ref="A203:AC203"/>
    <mergeCell ref="A204:AC204"/>
    <mergeCell ref="AK210:AR210"/>
    <mergeCell ref="AK211:AR211"/>
    <mergeCell ref="AK212:AR212"/>
    <mergeCell ref="AK213:AR213"/>
    <mergeCell ref="AK214:AR214"/>
    <mergeCell ref="AK215:AR215"/>
    <mergeCell ref="AS210:BR210"/>
    <mergeCell ref="AS211:BR211"/>
    <mergeCell ref="AS212:BR212"/>
    <mergeCell ref="AS213:BR213"/>
    <mergeCell ref="AS214:BR214"/>
    <mergeCell ref="AS215:BR215"/>
    <mergeCell ref="A208:CV208"/>
    <mergeCell ref="A210:J210"/>
    <mergeCell ref="A211:J211"/>
    <mergeCell ref="A212:J212"/>
    <mergeCell ref="A213:J213"/>
    <mergeCell ref="A214:J214"/>
    <mergeCell ref="A215:J215"/>
    <mergeCell ref="K210:R210"/>
    <mergeCell ref="K211:R211"/>
    <mergeCell ref="K212:R212"/>
    <mergeCell ref="K213:R213"/>
    <mergeCell ref="K214:R214"/>
    <mergeCell ref="K215:R215"/>
    <mergeCell ref="S210:AJ210"/>
    <mergeCell ref="S211:AJ211"/>
    <mergeCell ref="AD198:AI198"/>
    <mergeCell ref="AJ198:AO198"/>
    <mergeCell ref="AP198:AU198"/>
    <mergeCell ref="BS211:BY211"/>
    <mergeCell ref="BS212:BY212"/>
    <mergeCell ref="BS213:BY213"/>
    <mergeCell ref="BS214:BY214"/>
    <mergeCell ref="BS215:BY215"/>
    <mergeCell ref="AD202:AI202"/>
    <mergeCell ref="AJ202:AO202"/>
    <mergeCell ref="AP202:AU202"/>
    <mergeCell ref="AD203:AI203"/>
    <mergeCell ref="AJ203:AO203"/>
    <mergeCell ref="AP203:AU203"/>
    <mergeCell ref="AD204:AI204"/>
    <mergeCell ref="AJ204:AO204"/>
    <mergeCell ref="AP204:AU204"/>
    <mergeCell ref="S212:AJ212"/>
    <mergeCell ref="S213:AJ213"/>
    <mergeCell ref="S214:AJ214"/>
    <mergeCell ref="S215:AJ215"/>
    <mergeCell ref="BS210:BY210"/>
    <mergeCell ref="AD199:AI199"/>
    <mergeCell ref="AJ199:AO199"/>
    <mergeCell ref="AP199:AU199"/>
    <mergeCell ref="AD200:AI200"/>
    <mergeCell ref="AJ200:AO200"/>
    <mergeCell ref="AP200:AU200"/>
    <mergeCell ref="AD201:AI201"/>
    <mergeCell ref="AJ201:AO201"/>
    <mergeCell ref="AP201:AU201"/>
    <mergeCell ref="A200:AC200"/>
    <mergeCell ref="A198:AC198"/>
    <mergeCell ref="A199:AC199"/>
    <mergeCell ref="BY185:CD185"/>
    <mergeCell ref="CE185:CJ185"/>
    <mergeCell ref="CK185:CP185"/>
    <mergeCell ref="CQ185:CV185"/>
    <mergeCell ref="CW185:DB185"/>
    <mergeCell ref="DC185:DH185"/>
    <mergeCell ref="DI185:DN185"/>
    <mergeCell ref="DO185:DT185"/>
    <mergeCell ref="DU185:DZ185"/>
    <mergeCell ref="BY186:CD186"/>
    <mergeCell ref="CE186:CJ186"/>
    <mergeCell ref="CK186:CP186"/>
    <mergeCell ref="CQ186:CV186"/>
    <mergeCell ref="CW186:DB186"/>
    <mergeCell ref="DC186:DH186"/>
    <mergeCell ref="DI186:DN186"/>
    <mergeCell ref="DO186:DT186"/>
    <mergeCell ref="BY187:CD187"/>
    <mergeCell ref="CE187:CJ187"/>
    <mergeCell ref="CK187:CP187"/>
    <mergeCell ref="CQ187:CV187"/>
    <mergeCell ref="CW187:DB187"/>
    <mergeCell ref="DC187:DH187"/>
    <mergeCell ref="DI187:DN187"/>
    <mergeCell ref="DO187:DT187"/>
    <mergeCell ref="AD193:AI193"/>
    <mergeCell ref="AJ193:AO193"/>
    <mergeCell ref="AP193:AU193"/>
    <mergeCell ref="AD194:AI194"/>
    <mergeCell ref="AJ194:AO194"/>
    <mergeCell ref="CQ184:CV184"/>
    <mergeCell ref="CW184:DB184"/>
    <mergeCell ref="DC184:DH184"/>
    <mergeCell ref="DI184:DN184"/>
    <mergeCell ref="DO184:DT184"/>
    <mergeCell ref="DU184:DZ184"/>
    <mergeCell ref="AU186:AZ186"/>
    <mergeCell ref="BA186:BF186"/>
    <mergeCell ref="BG186:BL186"/>
    <mergeCell ref="BM186:BR186"/>
    <mergeCell ref="BS186:BX186"/>
    <mergeCell ref="A184:V184"/>
    <mergeCell ref="A185:V185"/>
    <mergeCell ref="AD196:AI196"/>
    <mergeCell ref="AJ196:AO196"/>
    <mergeCell ref="AP196:AU196"/>
    <mergeCell ref="AD197:AI197"/>
    <mergeCell ref="AJ197:AO197"/>
    <mergeCell ref="AP197:AU197"/>
    <mergeCell ref="DU187:DZ187"/>
    <mergeCell ref="A191:CV191"/>
    <mergeCell ref="A193:AC193"/>
    <mergeCell ref="A194:AC194"/>
    <mergeCell ref="A195:AC195"/>
    <mergeCell ref="A196:AC196"/>
    <mergeCell ref="A197:AC197"/>
    <mergeCell ref="AP194:AU194"/>
    <mergeCell ref="AD195:AI195"/>
    <mergeCell ref="AJ195:AO195"/>
    <mergeCell ref="AP195:AU195"/>
    <mergeCell ref="BM187:BR187"/>
    <mergeCell ref="BS187:BX187"/>
    <mergeCell ref="CW181:DB181"/>
    <mergeCell ref="DC181:DH181"/>
    <mergeCell ref="DI181:DN181"/>
    <mergeCell ref="DO181:DT181"/>
    <mergeCell ref="DU181:DZ181"/>
    <mergeCell ref="BY182:CD182"/>
    <mergeCell ref="CE182:CJ182"/>
    <mergeCell ref="CK182:CP182"/>
    <mergeCell ref="CQ182:CV182"/>
    <mergeCell ref="CW182:DB182"/>
    <mergeCell ref="DC182:DH182"/>
    <mergeCell ref="DI182:DN182"/>
    <mergeCell ref="DO182:DT182"/>
    <mergeCell ref="DU182:DZ182"/>
    <mergeCell ref="DU186:DZ186"/>
    <mergeCell ref="A186:V186"/>
    <mergeCell ref="W186:AB186"/>
    <mergeCell ref="AC186:AH186"/>
    <mergeCell ref="AI186:AN186"/>
    <mergeCell ref="AO186:AT186"/>
    <mergeCell ref="BY183:CD183"/>
    <mergeCell ref="CE183:CJ183"/>
    <mergeCell ref="CK183:CP183"/>
    <mergeCell ref="CQ183:CV183"/>
    <mergeCell ref="CW183:DB183"/>
    <mergeCell ref="DC183:DH183"/>
    <mergeCell ref="DI183:DN183"/>
    <mergeCell ref="DO183:DT183"/>
    <mergeCell ref="DU183:DZ183"/>
    <mergeCell ref="BY184:CD184"/>
    <mergeCell ref="CE184:CJ184"/>
    <mergeCell ref="CK184:CP184"/>
    <mergeCell ref="AU169:AZ169"/>
    <mergeCell ref="AU170:AZ170"/>
    <mergeCell ref="AU171:AZ171"/>
    <mergeCell ref="AU172:AZ172"/>
    <mergeCell ref="CE181:CJ181"/>
    <mergeCell ref="CK181:CP181"/>
    <mergeCell ref="CQ181:CV181"/>
    <mergeCell ref="BY181:CD181"/>
    <mergeCell ref="AI176:AN176"/>
    <mergeCell ref="AO176:AT176"/>
    <mergeCell ref="W177:AB177"/>
    <mergeCell ref="AC177:AH177"/>
    <mergeCell ref="AI177:AN177"/>
    <mergeCell ref="AO177:AT177"/>
    <mergeCell ref="W178:AB178"/>
    <mergeCell ref="AC178:AH178"/>
    <mergeCell ref="AI178:AN178"/>
    <mergeCell ref="AO178:AT178"/>
    <mergeCell ref="W179:AB179"/>
    <mergeCell ref="AC179:AH179"/>
    <mergeCell ref="AI179:AN179"/>
    <mergeCell ref="AO179:AT179"/>
    <mergeCell ref="AO170:AT170"/>
    <mergeCell ref="AO169:AT169"/>
    <mergeCell ref="W170:AB170"/>
    <mergeCell ref="AC170:AH170"/>
    <mergeCell ref="AI170:AN170"/>
    <mergeCell ref="W169:AB169"/>
    <mergeCell ref="AC169:AH169"/>
    <mergeCell ref="A178:H178"/>
    <mergeCell ref="W171:AB171"/>
    <mergeCell ref="AC171:AH171"/>
    <mergeCell ref="AI171:AN171"/>
    <mergeCell ref="AO171:AT171"/>
    <mergeCell ref="I176:L176"/>
    <mergeCell ref="M176:Q176"/>
    <mergeCell ref="R176:V176"/>
    <mergeCell ref="I177:L177"/>
    <mergeCell ref="M177:Q177"/>
    <mergeCell ref="R177:V177"/>
    <mergeCell ref="I178:L178"/>
    <mergeCell ref="M178:Q178"/>
    <mergeCell ref="R178:V178"/>
    <mergeCell ref="W172:AB172"/>
    <mergeCell ref="AC172:AH172"/>
    <mergeCell ref="AI172:AN172"/>
    <mergeCell ref="W175:AB175"/>
    <mergeCell ref="AC175:AH175"/>
    <mergeCell ref="AI175:AN175"/>
    <mergeCell ref="AO175:AT175"/>
    <mergeCell ref="W176:AB176"/>
    <mergeCell ref="AC176:AH176"/>
    <mergeCell ref="A177:H177"/>
    <mergeCell ref="R174:V174"/>
    <mergeCell ref="A187:V187"/>
    <mergeCell ref="W187:AB187"/>
    <mergeCell ref="AC187:AH187"/>
    <mergeCell ref="AI187:AN187"/>
    <mergeCell ref="AO187:AT187"/>
    <mergeCell ref="AU187:AZ187"/>
    <mergeCell ref="BA187:BF187"/>
    <mergeCell ref="BG187:BL187"/>
    <mergeCell ref="AU182:AZ182"/>
    <mergeCell ref="AU183:AZ183"/>
    <mergeCell ref="AU184:AZ184"/>
    <mergeCell ref="AU185:AZ185"/>
    <mergeCell ref="BA182:BF182"/>
    <mergeCell ref="BA183:BF183"/>
    <mergeCell ref="BA184:BF184"/>
    <mergeCell ref="BA185:BF185"/>
    <mergeCell ref="BG182:BL182"/>
    <mergeCell ref="BG183:BL183"/>
    <mergeCell ref="BG184:BL184"/>
    <mergeCell ref="BG185:BL185"/>
    <mergeCell ref="A181:V181"/>
    <mergeCell ref="I175:L175"/>
    <mergeCell ref="R175:V175"/>
    <mergeCell ref="BS182:BX182"/>
    <mergeCell ref="BS183:BX183"/>
    <mergeCell ref="BS184:BX184"/>
    <mergeCell ref="W181:AB181"/>
    <mergeCell ref="AC181:AH181"/>
    <mergeCell ref="AI181:AN181"/>
    <mergeCell ref="AO181:AT181"/>
    <mergeCell ref="AU181:AZ181"/>
    <mergeCell ref="BA181:BF181"/>
    <mergeCell ref="BG181:BL181"/>
    <mergeCell ref="BM181:BR181"/>
    <mergeCell ref="BS181:BX181"/>
    <mergeCell ref="AC173:AH173"/>
    <mergeCell ref="AO172:AT172"/>
    <mergeCell ref="W173:AB173"/>
    <mergeCell ref="AI173:AN173"/>
    <mergeCell ref="AO173:AT173"/>
    <mergeCell ref="W174:AB174"/>
    <mergeCell ref="AC174:AH174"/>
    <mergeCell ref="AI174:AN174"/>
    <mergeCell ref="AO174:AT174"/>
    <mergeCell ref="A176:H176"/>
    <mergeCell ref="AU173:AZ173"/>
    <mergeCell ref="AU174:AZ174"/>
    <mergeCell ref="AU175:AZ175"/>
    <mergeCell ref="AU176:AZ176"/>
    <mergeCell ref="AU177:AZ177"/>
    <mergeCell ref="AU178:AZ178"/>
    <mergeCell ref="A180:BX180"/>
    <mergeCell ref="BS185:BX185"/>
    <mergeCell ref="A182:V182"/>
    <mergeCell ref="A183:V183"/>
    <mergeCell ref="W182:AB182"/>
    <mergeCell ref="W183:AB183"/>
    <mergeCell ref="W184:AB184"/>
    <mergeCell ref="W185:AB185"/>
    <mergeCell ref="AC182:AH182"/>
    <mergeCell ref="AC183:AH183"/>
    <mergeCell ref="AC184:AH184"/>
    <mergeCell ref="AC185:AH185"/>
    <mergeCell ref="AI182:AN182"/>
    <mergeCell ref="AI183:AN183"/>
    <mergeCell ref="AI184:AN184"/>
    <mergeCell ref="AI185:AN185"/>
    <mergeCell ref="AO182:AT182"/>
    <mergeCell ref="AO183:AT183"/>
    <mergeCell ref="AO184:AT184"/>
    <mergeCell ref="BM182:BR182"/>
    <mergeCell ref="BM183:BR183"/>
    <mergeCell ref="BM184:BR184"/>
    <mergeCell ref="AO185:AT185"/>
    <mergeCell ref="BM185:BR185"/>
    <mergeCell ref="A167:H167"/>
    <mergeCell ref="A168:H168"/>
    <mergeCell ref="A169:H169"/>
    <mergeCell ref="A170:H170"/>
    <mergeCell ref="A171:H171"/>
    <mergeCell ref="A172:H172"/>
    <mergeCell ref="A173:H173"/>
    <mergeCell ref="A174:H174"/>
    <mergeCell ref="A175:H175"/>
    <mergeCell ref="I167:L167"/>
    <mergeCell ref="I168:L168"/>
    <mergeCell ref="I169:L169"/>
    <mergeCell ref="I170:L170"/>
    <mergeCell ref="I171:L171"/>
    <mergeCell ref="I172:L172"/>
    <mergeCell ref="I173:L173"/>
    <mergeCell ref="M174:Q174"/>
    <mergeCell ref="M175:Q175"/>
    <mergeCell ref="I174:L174"/>
    <mergeCell ref="M167:Q167"/>
    <mergeCell ref="M168:Q168"/>
    <mergeCell ref="M169:Q169"/>
    <mergeCell ref="M170:Q170"/>
    <mergeCell ref="M171:Q171"/>
    <mergeCell ref="M172:Q172"/>
    <mergeCell ref="M173:Q173"/>
    <mergeCell ref="R167:V167"/>
    <mergeCell ref="R168:V168"/>
    <mergeCell ref="R169:V169"/>
    <mergeCell ref="R170:V170"/>
    <mergeCell ref="R171:V171"/>
    <mergeCell ref="R172:V172"/>
    <mergeCell ref="R173:V173"/>
    <mergeCell ref="AI169:AN169"/>
    <mergeCell ref="AS156:BC156"/>
    <mergeCell ref="AS157:BC157"/>
    <mergeCell ref="AS158:BC158"/>
    <mergeCell ref="AS159:BC159"/>
    <mergeCell ref="AS160:BC160"/>
    <mergeCell ref="AS161:BC161"/>
    <mergeCell ref="AS162:BC162"/>
    <mergeCell ref="AS163:BC163"/>
    <mergeCell ref="W157:AG157"/>
    <mergeCell ref="W158:AG158"/>
    <mergeCell ref="W159:AG159"/>
    <mergeCell ref="W160:AG160"/>
    <mergeCell ref="W161:AG161"/>
    <mergeCell ref="W162:AG162"/>
    <mergeCell ref="W168:AB168"/>
    <mergeCell ref="AC168:AH168"/>
    <mergeCell ref="AI168:AN168"/>
    <mergeCell ref="AO168:AT168"/>
    <mergeCell ref="AU166:AZ166"/>
    <mergeCell ref="AU167:AZ167"/>
    <mergeCell ref="AU168:AZ168"/>
    <mergeCell ref="AI166:AN166"/>
    <mergeCell ref="AO166:AT166"/>
    <mergeCell ref="W167:AB167"/>
    <mergeCell ref="AC167:AH167"/>
    <mergeCell ref="AI167:AN167"/>
    <mergeCell ref="AO167:AT167"/>
    <mergeCell ref="A153:V153"/>
    <mergeCell ref="A154:V154"/>
    <mergeCell ref="A155:V155"/>
    <mergeCell ref="A156:V156"/>
    <mergeCell ref="A157:V157"/>
    <mergeCell ref="A158:V158"/>
    <mergeCell ref="A159:V159"/>
    <mergeCell ref="A160:V160"/>
    <mergeCell ref="A161:V161"/>
    <mergeCell ref="A162:V162"/>
    <mergeCell ref="W163:AG163"/>
    <mergeCell ref="W156:AG156"/>
    <mergeCell ref="AH151:AR151"/>
    <mergeCell ref="AH152:AR152"/>
    <mergeCell ref="W166:AB166"/>
    <mergeCell ref="AC166:AH166"/>
    <mergeCell ref="M166:Q166"/>
    <mergeCell ref="R166:V166"/>
    <mergeCell ref="AH154:AR154"/>
    <mergeCell ref="AH155:AR155"/>
    <mergeCell ref="AH156:AR156"/>
    <mergeCell ref="AH157:AR157"/>
    <mergeCell ref="AH158:AR158"/>
    <mergeCell ref="AH159:AR159"/>
    <mergeCell ref="AH160:AR160"/>
    <mergeCell ref="AH161:AR161"/>
    <mergeCell ref="AH162:AR162"/>
    <mergeCell ref="AH163:AR163"/>
    <mergeCell ref="A163:V163"/>
    <mergeCell ref="A166:H166"/>
    <mergeCell ref="I166:L166"/>
    <mergeCell ref="A165:AZ165"/>
    <mergeCell ref="A11:CV11"/>
    <mergeCell ref="CE40:CF40"/>
    <mergeCell ref="CG40:CH40"/>
    <mergeCell ref="CI40:CJ40"/>
    <mergeCell ref="CK40:CL40"/>
    <mergeCell ref="CM40:CN40"/>
    <mergeCell ref="CO40:CP40"/>
    <mergeCell ref="CQ40:CR40"/>
    <mergeCell ref="CS40:CT40"/>
    <mergeCell ref="CU40:CV40"/>
    <mergeCell ref="BL40:BM40"/>
    <mergeCell ref="BN40:BO40"/>
    <mergeCell ref="BQ40:BR40"/>
    <mergeCell ref="BS40:BT40"/>
    <mergeCell ref="BU40:BV40"/>
    <mergeCell ref="BW40:BX40"/>
    <mergeCell ref="AH153:AR153"/>
    <mergeCell ref="A146:V146"/>
    <mergeCell ref="W146:AG146"/>
    <mergeCell ref="CA40:CB40"/>
    <mergeCell ref="CC40:CD40"/>
    <mergeCell ref="A147:V147"/>
    <mergeCell ref="W147:AG147"/>
    <mergeCell ref="W151:AG151"/>
    <mergeCell ref="W152:AG152"/>
    <mergeCell ref="W153:AG153"/>
    <mergeCell ref="AS151:BC151"/>
    <mergeCell ref="AS152:BC152"/>
    <mergeCell ref="AT143:AV143"/>
    <mergeCell ref="CQ39:CR39"/>
    <mergeCell ref="BH39:BI39"/>
    <mergeCell ref="BJ39:BK39"/>
    <mergeCell ref="BL39:BM39"/>
    <mergeCell ref="BN39:BO39"/>
    <mergeCell ref="BQ39:BR39"/>
    <mergeCell ref="BS39:BT39"/>
    <mergeCell ref="BU39:BV39"/>
    <mergeCell ref="BW39:BX39"/>
    <mergeCell ref="AS153:BC153"/>
    <mergeCell ref="AS154:BC154"/>
    <mergeCell ref="AS155:BC155"/>
    <mergeCell ref="A41:BG41"/>
    <mergeCell ref="BH41:BO41"/>
    <mergeCell ref="BQ41:CN41"/>
    <mergeCell ref="CO41:CV41"/>
    <mergeCell ref="A43:BG43"/>
    <mergeCell ref="BH43:BO43"/>
    <mergeCell ref="BQ43:CN43"/>
    <mergeCell ref="CO43:CV43"/>
    <mergeCell ref="W154:AG154"/>
    <mergeCell ref="W155:AG155"/>
    <mergeCell ref="AW144:AY144"/>
    <mergeCell ref="J142:AP142"/>
    <mergeCell ref="D40:E40"/>
    <mergeCell ref="F40:G40"/>
    <mergeCell ref="H40:I40"/>
    <mergeCell ref="J40:K40"/>
    <mergeCell ref="L40:M40"/>
    <mergeCell ref="A149:CV149"/>
    <mergeCell ref="A151:V151"/>
    <mergeCell ref="A152:V152"/>
    <mergeCell ref="N40:O40"/>
    <mergeCell ref="P40:Q40"/>
    <mergeCell ref="R40:S40"/>
    <mergeCell ref="T40:U40"/>
    <mergeCell ref="V40:W40"/>
    <mergeCell ref="X40:Y40"/>
    <mergeCell ref="Z40:AA40"/>
    <mergeCell ref="AB40:AC40"/>
    <mergeCell ref="AD40:AE40"/>
    <mergeCell ref="AF40:AG40"/>
    <mergeCell ref="AH40:AI40"/>
    <mergeCell ref="AJ40:AK40"/>
    <mergeCell ref="AX40:AY40"/>
    <mergeCell ref="AZ40:BA40"/>
    <mergeCell ref="BB40:BC40"/>
    <mergeCell ref="BD40:BE40"/>
    <mergeCell ref="BF40:BG40"/>
    <mergeCell ref="AT40:AU40"/>
    <mergeCell ref="AV40:AW40"/>
    <mergeCell ref="AL40:AM40"/>
    <mergeCell ref="AN40:AO40"/>
    <mergeCell ref="AP40:AQ40"/>
    <mergeCell ref="BH40:BI40"/>
    <mergeCell ref="BJ40:BK40"/>
    <mergeCell ref="BY40:BZ40"/>
    <mergeCell ref="A40:C40"/>
    <mergeCell ref="AR40:AS40"/>
    <mergeCell ref="CB77:CE77"/>
    <mergeCell ref="A70:I70"/>
    <mergeCell ref="CO38:CP38"/>
    <mergeCell ref="CQ38:CR38"/>
    <mergeCell ref="CS38:CT38"/>
    <mergeCell ref="CU38:CV38"/>
    <mergeCell ref="A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CS39:CT39"/>
    <mergeCell ref="CU39:CV39"/>
    <mergeCell ref="CA39:CB39"/>
    <mergeCell ref="CC39:CD39"/>
    <mergeCell ref="CE39:CF39"/>
    <mergeCell ref="CG39:CH39"/>
    <mergeCell ref="CI39:CJ39"/>
    <mergeCell ref="CK39:CL39"/>
    <mergeCell ref="CM39:CN39"/>
    <mergeCell ref="CO39:CP39"/>
    <mergeCell ref="AL39:AM39"/>
    <mergeCell ref="BW38:BX38"/>
    <mergeCell ref="BY38:BZ38"/>
    <mergeCell ref="CA38:CB38"/>
    <mergeCell ref="CC38:CD38"/>
    <mergeCell ref="CE38:CF38"/>
    <mergeCell ref="CG38:CH38"/>
    <mergeCell ref="CI38:CJ38"/>
    <mergeCell ref="CK38:CL38"/>
    <mergeCell ref="BF39:BG39"/>
    <mergeCell ref="CM38:CN38"/>
    <mergeCell ref="BF38:BG38"/>
    <mergeCell ref="BH38:BI38"/>
    <mergeCell ref="BJ38:BK38"/>
    <mergeCell ref="BL38:BM38"/>
    <mergeCell ref="BN38:BO38"/>
    <mergeCell ref="BQ38:BR38"/>
    <mergeCell ref="BS38:BT38"/>
    <mergeCell ref="BU38:BV38"/>
    <mergeCell ref="BY39:BZ39"/>
    <mergeCell ref="A38:C38"/>
    <mergeCell ref="D38:E38"/>
    <mergeCell ref="F38:G38"/>
    <mergeCell ref="H38:I38"/>
    <mergeCell ref="J38:K38"/>
    <mergeCell ref="L38:M38"/>
    <mergeCell ref="N38:O38"/>
    <mergeCell ref="P38:Q38"/>
    <mergeCell ref="R38:S38"/>
    <mergeCell ref="AP39:AQ39"/>
    <mergeCell ref="AR39:AS39"/>
    <mergeCell ref="AT39:AU39"/>
    <mergeCell ref="AV39:AW39"/>
    <mergeCell ref="AX39:AY39"/>
    <mergeCell ref="AZ39:BA39"/>
    <mergeCell ref="BB39:BC39"/>
    <mergeCell ref="BD39:BE39"/>
    <mergeCell ref="BD38:BE38"/>
    <mergeCell ref="AL38:AM38"/>
    <mergeCell ref="AN38:AO38"/>
    <mergeCell ref="AP38:AQ38"/>
    <mergeCell ref="AR38:AS38"/>
    <mergeCell ref="AT38:AU38"/>
    <mergeCell ref="AV38:AW38"/>
    <mergeCell ref="AX38:AY38"/>
    <mergeCell ref="AZ38:BA38"/>
    <mergeCell ref="BB38:BC38"/>
    <mergeCell ref="AJ39:AK39"/>
    <mergeCell ref="AN39:AO39"/>
    <mergeCell ref="AR37:AS37"/>
    <mergeCell ref="AT37:AU37"/>
    <mergeCell ref="AV37:AW37"/>
    <mergeCell ref="AX37:AY37"/>
    <mergeCell ref="AZ37:BA37"/>
    <mergeCell ref="BB37:BC37"/>
    <mergeCell ref="BD37:BE37"/>
    <mergeCell ref="BF37:BG37"/>
    <mergeCell ref="BH37:BI37"/>
    <mergeCell ref="BJ37:BK37"/>
    <mergeCell ref="T38:U38"/>
    <mergeCell ref="V38:W38"/>
    <mergeCell ref="X38:Y38"/>
    <mergeCell ref="Z38:AA38"/>
    <mergeCell ref="AB38:AC38"/>
    <mergeCell ref="AD38:AE38"/>
    <mergeCell ref="AF38:AG38"/>
    <mergeCell ref="AH38:AI38"/>
    <mergeCell ref="AJ38:AK38"/>
    <mergeCell ref="CE37:CF37"/>
    <mergeCell ref="CG37:CH37"/>
    <mergeCell ref="CI37:CJ37"/>
    <mergeCell ref="CK37:CL37"/>
    <mergeCell ref="CM37:CN37"/>
    <mergeCell ref="CO37:CP37"/>
    <mergeCell ref="CQ37:CR37"/>
    <mergeCell ref="CS37:CT37"/>
    <mergeCell ref="CU37:CV37"/>
    <mergeCell ref="BL37:BM37"/>
    <mergeCell ref="BN37:BO37"/>
    <mergeCell ref="BQ37:BR37"/>
    <mergeCell ref="BS37:BT37"/>
    <mergeCell ref="BU37:BV37"/>
    <mergeCell ref="BW37:BX37"/>
    <mergeCell ref="BY37:BZ37"/>
    <mergeCell ref="CA37:CB37"/>
    <mergeCell ref="CC37:CD37"/>
    <mergeCell ref="CO36:CP36"/>
    <mergeCell ref="CQ36:CR36"/>
    <mergeCell ref="BH36:BI36"/>
    <mergeCell ref="BJ36:BK36"/>
    <mergeCell ref="BL36:BM36"/>
    <mergeCell ref="BN36:BO36"/>
    <mergeCell ref="BQ36:BR36"/>
    <mergeCell ref="BS36:BT36"/>
    <mergeCell ref="BU36:BV36"/>
    <mergeCell ref="BW36:BX36"/>
    <mergeCell ref="BY36:BZ36"/>
    <mergeCell ref="A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CO35:CP35"/>
    <mergeCell ref="CQ35:CR35"/>
    <mergeCell ref="CS35:CT35"/>
    <mergeCell ref="CU35:CV35"/>
    <mergeCell ref="A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AL36:AM36"/>
    <mergeCell ref="CS36:CT36"/>
    <mergeCell ref="CU36:CV36"/>
    <mergeCell ref="AN36:AO36"/>
    <mergeCell ref="BW35:BX35"/>
    <mergeCell ref="BY35:BZ35"/>
    <mergeCell ref="CA35:CB35"/>
    <mergeCell ref="CC35:CD35"/>
    <mergeCell ref="CE35:CF35"/>
    <mergeCell ref="CG35:CH35"/>
    <mergeCell ref="CK35:CL35"/>
    <mergeCell ref="CM35:CN35"/>
    <mergeCell ref="BD35:BE35"/>
    <mergeCell ref="BF35:BG35"/>
    <mergeCell ref="BH35:BI35"/>
    <mergeCell ref="BJ35:BK35"/>
    <mergeCell ref="BL35:BM35"/>
    <mergeCell ref="BN35:BO35"/>
    <mergeCell ref="BQ35:BR35"/>
    <mergeCell ref="BS35:BT35"/>
    <mergeCell ref="BU35:BV35"/>
    <mergeCell ref="AP36:AQ36"/>
    <mergeCell ref="AR36:AS36"/>
    <mergeCell ref="AT36:AU36"/>
    <mergeCell ref="AV36:AW36"/>
    <mergeCell ref="AX36:AY36"/>
    <mergeCell ref="AZ36:BA36"/>
    <mergeCell ref="BB36:BC36"/>
    <mergeCell ref="BD36:BE36"/>
    <mergeCell ref="BF36:BG36"/>
    <mergeCell ref="CA36:CB36"/>
    <mergeCell ref="CC36:CD36"/>
    <mergeCell ref="CE36:CF36"/>
    <mergeCell ref="CG36:CH36"/>
    <mergeCell ref="CI36:CJ36"/>
    <mergeCell ref="CK36:CL36"/>
    <mergeCell ref="CM36:CN36"/>
    <mergeCell ref="A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5:AK35"/>
    <mergeCell ref="BS34:BT34"/>
    <mergeCell ref="BU34:BV34"/>
    <mergeCell ref="BW34:BX34"/>
    <mergeCell ref="BY34:BZ34"/>
    <mergeCell ref="CA34:CB34"/>
    <mergeCell ref="CC34:CD34"/>
    <mergeCell ref="CE34:CF34"/>
    <mergeCell ref="CG34:CH34"/>
    <mergeCell ref="CI34:CJ34"/>
    <mergeCell ref="AZ34:BA34"/>
    <mergeCell ref="BB34:BC34"/>
    <mergeCell ref="BD34:BE34"/>
    <mergeCell ref="BF34:BG34"/>
    <mergeCell ref="BH34:BI34"/>
    <mergeCell ref="BJ34:BK34"/>
    <mergeCell ref="BL34:BM34"/>
    <mergeCell ref="BN34:BO34"/>
    <mergeCell ref="BQ34:BR34"/>
    <mergeCell ref="AL35:AM35"/>
    <mergeCell ref="AN35:AO35"/>
    <mergeCell ref="AP35:AQ35"/>
    <mergeCell ref="AR35:AS35"/>
    <mergeCell ref="AT35:AU35"/>
    <mergeCell ref="AV35:AW35"/>
    <mergeCell ref="AX35:AY35"/>
    <mergeCell ref="AZ35:BA35"/>
    <mergeCell ref="BB35:BC35"/>
    <mergeCell ref="AT34:AU34"/>
    <mergeCell ref="AV34:AW34"/>
    <mergeCell ref="AX34:AY34"/>
    <mergeCell ref="CI35:CJ35"/>
    <mergeCell ref="CG33:CH33"/>
    <mergeCell ref="CI33:CJ33"/>
    <mergeCell ref="CK33:CL33"/>
    <mergeCell ref="CM33:CN33"/>
    <mergeCell ref="CO33:CP33"/>
    <mergeCell ref="CQ33:CR33"/>
    <mergeCell ref="CS33:CT33"/>
    <mergeCell ref="CU33:CV33"/>
    <mergeCell ref="BQ33:BR33"/>
    <mergeCell ref="BS33:BT33"/>
    <mergeCell ref="BU33:BV33"/>
    <mergeCell ref="BW33:BX33"/>
    <mergeCell ref="BY33:BZ33"/>
    <mergeCell ref="CA33:CB33"/>
    <mergeCell ref="CC33:CD33"/>
    <mergeCell ref="CE33:CF33"/>
    <mergeCell ref="CK34:CL34"/>
    <mergeCell ref="CM34:CN34"/>
    <mergeCell ref="CO34:CP34"/>
    <mergeCell ref="CQ34:CR34"/>
    <mergeCell ref="CS34:CT34"/>
    <mergeCell ref="CU34:CV34"/>
    <mergeCell ref="A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BN33:BO33"/>
    <mergeCell ref="AV33:AW33"/>
    <mergeCell ref="AX33:AY33"/>
    <mergeCell ref="AZ33:BA33"/>
    <mergeCell ref="BB33:BC33"/>
    <mergeCell ref="BD33:BE33"/>
    <mergeCell ref="BF33:BG33"/>
    <mergeCell ref="BH33:BI33"/>
    <mergeCell ref="BJ33:BK33"/>
    <mergeCell ref="BL33:BM33"/>
    <mergeCell ref="AH34:AI34"/>
    <mergeCell ref="AJ34:AK34"/>
    <mergeCell ref="AL34:AM34"/>
    <mergeCell ref="AN34:AO34"/>
    <mergeCell ref="AP34:AQ34"/>
    <mergeCell ref="AR34:AS34"/>
    <mergeCell ref="CU32:CV32"/>
    <mergeCell ref="A33:C33"/>
    <mergeCell ref="D33:E33"/>
    <mergeCell ref="F33:G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 ref="AN33:AO33"/>
    <mergeCell ref="AP33:AQ33"/>
    <mergeCell ref="AR33:AS33"/>
    <mergeCell ref="AT33:AU33"/>
    <mergeCell ref="CC32:CD32"/>
    <mergeCell ref="CE32:CF32"/>
    <mergeCell ref="CG32:CH32"/>
    <mergeCell ref="CI32:CJ32"/>
    <mergeCell ref="CK32:CL32"/>
    <mergeCell ref="CM32:CN32"/>
    <mergeCell ref="CO32:CP32"/>
    <mergeCell ref="CQ32:CR32"/>
    <mergeCell ref="AT31:AU31"/>
    <mergeCell ref="CS32:CT32"/>
    <mergeCell ref="BJ32:BK32"/>
    <mergeCell ref="BL32:BM32"/>
    <mergeCell ref="BN32:BO32"/>
    <mergeCell ref="BQ32:BR32"/>
    <mergeCell ref="BS32:BT32"/>
    <mergeCell ref="BU32:BV32"/>
    <mergeCell ref="BW32:BX32"/>
    <mergeCell ref="BY32:BZ32"/>
    <mergeCell ref="CA32:CB32"/>
    <mergeCell ref="AR32:AS32"/>
    <mergeCell ref="AT32:AU32"/>
    <mergeCell ref="AV32:AW32"/>
    <mergeCell ref="AX32:AY32"/>
    <mergeCell ref="AZ32:BA32"/>
    <mergeCell ref="BB32:BC32"/>
    <mergeCell ref="BD32:BE32"/>
    <mergeCell ref="BF32:BG32"/>
    <mergeCell ref="BH32:BI32"/>
    <mergeCell ref="AJ31:AK31"/>
    <mergeCell ref="AL31:AM31"/>
    <mergeCell ref="AN31:AO31"/>
    <mergeCell ref="AP31:AQ31"/>
    <mergeCell ref="CG31:CH31"/>
    <mergeCell ref="CI31:CJ31"/>
    <mergeCell ref="CK31:CL31"/>
    <mergeCell ref="CM31:CN31"/>
    <mergeCell ref="CO31:CP31"/>
    <mergeCell ref="CQ31:CR31"/>
    <mergeCell ref="CS31:CT31"/>
    <mergeCell ref="CU31:CV31"/>
    <mergeCell ref="BQ31:BR31"/>
    <mergeCell ref="BS31:BT31"/>
    <mergeCell ref="A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BN31:BO31"/>
    <mergeCell ref="AR31:AS31"/>
    <mergeCell ref="A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R30:AS30"/>
    <mergeCell ref="AT30:AU30"/>
    <mergeCell ref="AV30:AW30"/>
    <mergeCell ref="AX30:AY30"/>
    <mergeCell ref="AZ30:BA30"/>
    <mergeCell ref="BB30:BC30"/>
    <mergeCell ref="BD30:BE30"/>
    <mergeCell ref="BF30:BG30"/>
    <mergeCell ref="BH30:BI30"/>
    <mergeCell ref="CC30:CD30"/>
    <mergeCell ref="CE30:CF30"/>
    <mergeCell ref="CG30:CH30"/>
    <mergeCell ref="CI30:CJ30"/>
    <mergeCell ref="CK30:CL30"/>
    <mergeCell ref="CM30:CN30"/>
    <mergeCell ref="CO30:CP30"/>
    <mergeCell ref="CU30:CV30"/>
    <mergeCell ref="CI29:CJ29"/>
    <mergeCell ref="CK29:CL29"/>
    <mergeCell ref="BF29:BG29"/>
    <mergeCell ref="BH29:BI29"/>
    <mergeCell ref="BJ29:BK29"/>
    <mergeCell ref="BL29:BM29"/>
    <mergeCell ref="BN29:BO29"/>
    <mergeCell ref="CG29:CH29"/>
    <mergeCell ref="CQ30:CR30"/>
    <mergeCell ref="CS30:CT30"/>
    <mergeCell ref="BJ30:BK30"/>
    <mergeCell ref="BL30:BM30"/>
    <mergeCell ref="BN30:BO30"/>
    <mergeCell ref="BQ30:BR30"/>
    <mergeCell ref="BS30:BT30"/>
    <mergeCell ref="BU30:BV30"/>
    <mergeCell ref="BW30:BX30"/>
    <mergeCell ref="BY30:BZ30"/>
    <mergeCell ref="CA30:CB30"/>
    <mergeCell ref="BW29:BX29"/>
    <mergeCell ref="BY29:BZ29"/>
    <mergeCell ref="CA29:CB29"/>
    <mergeCell ref="CC29:CD29"/>
    <mergeCell ref="CE29:CF29"/>
    <mergeCell ref="BB29:BC29"/>
    <mergeCell ref="BD29:BE29"/>
    <mergeCell ref="CE31:CF31"/>
    <mergeCell ref="AV31:AW31"/>
    <mergeCell ref="AX31:AY31"/>
    <mergeCell ref="AZ31:BA31"/>
    <mergeCell ref="BB31:BC31"/>
    <mergeCell ref="BD31:BE31"/>
    <mergeCell ref="BF31:BG31"/>
    <mergeCell ref="BH31:BI31"/>
    <mergeCell ref="BJ31:BK31"/>
    <mergeCell ref="BL31:BM31"/>
    <mergeCell ref="BU31:BV31"/>
    <mergeCell ref="BW31:BX31"/>
    <mergeCell ref="BY31:BZ31"/>
    <mergeCell ref="CA31:CB31"/>
    <mergeCell ref="CC31:CD31"/>
    <mergeCell ref="A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BQ28:BX28"/>
    <mergeCell ref="BY28:CF28"/>
    <mergeCell ref="CG28:CN28"/>
    <mergeCell ref="CO28:CV28"/>
    <mergeCell ref="D29:E29"/>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9:AK29"/>
    <mergeCell ref="AL29:AM29"/>
    <mergeCell ref="AN29:AO29"/>
    <mergeCell ref="AP29:AQ29"/>
    <mergeCell ref="CM29:CN29"/>
    <mergeCell ref="CO29:CP29"/>
    <mergeCell ref="CQ29:CR29"/>
    <mergeCell ref="CS29:CT29"/>
    <mergeCell ref="CU29:CV29"/>
    <mergeCell ref="BQ29:BR29"/>
    <mergeCell ref="BS29:BT29"/>
    <mergeCell ref="BU29:BV29"/>
    <mergeCell ref="AM70:AV70"/>
    <mergeCell ref="AW70:BE70"/>
    <mergeCell ref="BF70:BO70"/>
    <mergeCell ref="J78:S78"/>
    <mergeCell ref="T78:AC78"/>
    <mergeCell ref="AD78:AL78"/>
    <mergeCell ref="AM78:AV78"/>
    <mergeCell ref="AW78:BE78"/>
    <mergeCell ref="BF78:BO78"/>
    <mergeCell ref="BP78:BS78"/>
    <mergeCell ref="BT78:BW78"/>
    <mergeCell ref="BX78:CA78"/>
    <mergeCell ref="CB78:CE78"/>
    <mergeCell ref="BP70:BS70"/>
    <mergeCell ref="BT70:BW70"/>
    <mergeCell ref="J77:S77"/>
    <mergeCell ref="T77:AC77"/>
    <mergeCell ref="AD77:AL77"/>
    <mergeCell ref="AM77:AV77"/>
    <mergeCell ref="AW77:BE77"/>
    <mergeCell ref="BF77:BO77"/>
    <mergeCell ref="BP77:BS77"/>
    <mergeCell ref="BT77:BW77"/>
    <mergeCell ref="BX77:CA77"/>
    <mergeCell ref="J75:S75"/>
    <mergeCell ref="T75:AC75"/>
    <mergeCell ref="T73:AC73"/>
    <mergeCell ref="CB63:CE63"/>
    <mergeCell ref="CB64:CE64"/>
    <mergeCell ref="CB65:CE65"/>
    <mergeCell ref="CB66:CE66"/>
    <mergeCell ref="CB68:CE68"/>
    <mergeCell ref="CB69:CE69"/>
    <mergeCell ref="CB71:CE71"/>
    <mergeCell ref="CB72:CE72"/>
    <mergeCell ref="CB73:CE73"/>
    <mergeCell ref="CB74:CE74"/>
    <mergeCell ref="CB75:CE75"/>
    <mergeCell ref="J76:S76"/>
    <mergeCell ref="T76:AC76"/>
    <mergeCell ref="AD76:AL76"/>
    <mergeCell ref="AM76:AV76"/>
    <mergeCell ref="AW76:BE76"/>
    <mergeCell ref="BF76:BO76"/>
    <mergeCell ref="BP76:BS76"/>
    <mergeCell ref="BT76:BW76"/>
    <mergeCell ref="BX76:CA76"/>
    <mergeCell ref="CB76:CE76"/>
    <mergeCell ref="BX70:CA70"/>
    <mergeCell ref="CB70:CE70"/>
    <mergeCell ref="BX69:CA69"/>
    <mergeCell ref="BX71:CA71"/>
    <mergeCell ref="BX72:CA72"/>
    <mergeCell ref="BX73:CA73"/>
    <mergeCell ref="BX74:CA74"/>
    <mergeCell ref="BX75:CA75"/>
    <mergeCell ref="BP68:BS68"/>
    <mergeCell ref="BP69:BS69"/>
    <mergeCell ref="BP71:BS71"/>
    <mergeCell ref="CB67:CE67"/>
    <mergeCell ref="BX59:CA59"/>
    <mergeCell ref="BX60:CA60"/>
    <mergeCell ref="BX61:CA61"/>
    <mergeCell ref="BX62:CA62"/>
    <mergeCell ref="BX63:CA63"/>
    <mergeCell ref="BX64:CA64"/>
    <mergeCell ref="BX65:CA65"/>
    <mergeCell ref="BX66:CA66"/>
    <mergeCell ref="BX67:CA67"/>
    <mergeCell ref="BX50:CA50"/>
    <mergeCell ref="BX51:CA51"/>
    <mergeCell ref="BX52:CA52"/>
    <mergeCell ref="BX53:CA53"/>
    <mergeCell ref="BX54:CA54"/>
    <mergeCell ref="BX55:CA55"/>
    <mergeCell ref="BX56:CA56"/>
    <mergeCell ref="BX57:CA57"/>
    <mergeCell ref="BX58:CA58"/>
    <mergeCell ref="CB50:CE50"/>
    <mergeCell ref="CB51:CE51"/>
    <mergeCell ref="CB52:CE52"/>
    <mergeCell ref="CB53:CE53"/>
    <mergeCell ref="CB54:CE54"/>
    <mergeCell ref="CB55:CE55"/>
    <mergeCell ref="CB56:CE56"/>
    <mergeCell ref="CB57:CE57"/>
    <mergeCell ref="CB58:CE58"/>
    <mergeCell ref="CB59:CE59"/>
    <mergeCell ref="CB60:CE60"/>
    <mergeCell ref="CB61:CE61"/>
    <mergeCell ref="CB62:CE62"/>
    <mergeCell ref="BP53:BS53"/>
    <mergeCell ref="BP54:BS54"/>
    <mergeCell ref="BP55:BS55"/>
    <mergeCell ref="BP56:BS56"/>
    <mergeCell ref="BP57:BS57"/>
    <mergeCell ref="BP58:BS58"/>
    <mergeCell ref="BT59:BW59"/>
    <mergeCell ref="BT60:BW60"/>
    <mergeCell ref="BT61:BW61"/>
    <mergeCell ref="BT62:BW62"/>
    <mergeCell ref="BT63:BW63"/>
    <mergeCell ref="BT64:BW64"/>
    <mergeCell ref="BT65:BW65"/>
    <mergeCell ref="BT66:BW66"/>
    <mergeCell ref="BT67:BW67"/>
    <mergeCell ref="BT50:BW50"/>
    <mergeCell ref="BT51:BW51"/>
    <mergeCell ref="BT52:BW52"/>
    <mergeCell ref="BT53:BW53"/>
    <mergeCell ref="BT54:BW54"/>
    <mergeCell ref="BT55:BW55"/>
    <mergeCell ref="BT56:BW56"/>
    <mergeCell ref="BT57:BW57"/>
    <mergeCell ref="BT58:BW58"/>
    <mergeCell ref="BX68:CA68"/>
    <mergeCell ref="AW72:BE72"/>
    <mergeCell ref="BF72:BO72"/>
    <mergeCell ref="AW73:BE73"/>
    <mergeCell ref="BF73:BO73"/>
    <mergeCell ref="AW74:BE74"/>
    <mergeCell ref="BF74:BO74"/>
    <mergeCell ref="AW75:BE75"/>
    <mergeCell ref="BF75:BO75"/>
    <mergeCell ref="AW66:BE66"/>
    <mergeCell ref="BF66:BO66"/>
    <mergeCell ref="AW67:BE67"/>
    <mergeCell ref="BF67:BO67"/>
    <mergeCell ref="AW68:BE68"/>
    <mergeCell ref="BF68:BO68"/>
    <mergeCell ref="AW69:BE69"/>
    <mergeCell ref="BF69:BO69"/>
    <mergeCell ref="AW71:BE71"/>
    <mergeCell ref="BF71:BO71"/>
    <mergeCell ref="BP72:BS72"/>
    <mergeCell ref="BP73:BS73"/>
    <mergeCell ref="BP74:BS74"/>
    <mergeCell ref="BP75:BS75"/>
    <mergeCell ref="BP66:BS66"/>
    <mergeCell ref="BP67:BS67"/>
    <mergeCell ref="AW56:BE56"/>
    <mergeCell ref="BF56:BO56"/>
    <mergeCell ref="AW57:BE57"/>
    <mergeCell ref="BF57:BO57"/>
    <mergeCell ref="AW58:BE58"/>
    <mergeCell ref="BF58:BO58"/>
    <mergeCell ref="AW59:BE59"/>
    <mergeCell ref="BF59:BO59"/>
    <mergeCell ref="BT68:BW68"/>
    <mergeCell ref="BT69:BW69"/>
    <mergeCell ref="BT71:BW71"/>
    <mergeCell ref="BT72:BW72"/>
    <mergeCell ref="BT73:BW73"/>
    <mergeCell ref="BT74:BW74"/>
    <mergeCell ref="BT75:BW75"/>
    <mergeCell ref="BP59:BS59"/>
    <mergeCell ref="BP60:BS60"/>
    <mergeCell ref="BP61:BS61"/>
    <mergeCell ref="BP62:BS62"/>
    <mergeCell ref="BP63:BS63"/>
    <mergeCell ref="BP64:BS64"/>
    <mergeCell ref="BP65:BS65"/>
    <mergeCell ref="AW60:BE60"/>
    <mergeCell ref="BF60:BO60"/>
    <mergeCell ref="AM64:AV64"/>
    <mergeCell ref="AM65:AV65"/>
    <mergeCell ref="AM66:AV66"/>
    <mergeCell ref="AM67:AV67"/>
    <mergeCell ref="AM68:AV68"/>
    <mergeCell ref="AM69:AV69"/>
    <mergeCell ref="AM71:AV71"/>
    <mergeCell ref="AM72:AV72"/>
    <mergeCell ref="AM73:AV73"/>
    <mergeCell ref="AW65:BE65"/>
    <mergeCell ref="BF65:BO65"/>
    <mergeCell ref="AM74:AV74"/>
    <mergeCell ref="AM75:AV75"/>
    <mergeCell ref="AM55:AV55"/>
    <mergeCell ref="AM56:AV56"/>
    <mergeCell ref="AM57:AV57"/>
    <mergeCell ref="AM58:AV58"/>
    <mergeCell ref="AM59:AV59"/>
    <mergeCell ref="AM60:AV60"/>
    <mergeCell ref="AM61:AV61"/>
    <mergeCell ref="AM62:AV62"/>
    <mergeCell ref="AM63:AV63"/>
    <mergeCell ref="AW61:BE61"/>
    <mergeCell ref="BF61:BO61"/>
    <mergeCell ref="AW62:BE62"/>
    <mergeCell ref="BF62:BO62"/>
    <mergeCell ref="AW63:BE63"/>
    <mergeCell ref="BF63:BO63"/>
    <mergeCell ref="AW64:BE64"/>
    <mergeCell ref="BF64:BO64"/>
    <mergeCell ref="AW55:BE55"/>
    <mergeCell ref="BF55:BO55"/>
    <mergeCell ref="J56:S56"/>
    <mergeCell ref="J57:S57"/>
    <mergeCell ref="AD60:AL60"/>
    <mergeCell ref="AD61:AL61"/>
    <mergeCell ref="AD62:AL62"/>
    <mergeCell ref="AD63:AL63"/>
    <mergeCell ref="AD71:AL71"/>
    <mergeCell ref="AD72:AL72"/>
    <mergeCell ref="AD73:AL73"/>
    <mergeCell ref="AD74:AL74"/>
    <mergeCell ref="AD75:AL75"/>
    <mergeCell ref="AD65:AL65"/>
    <mergeCell ref="AD66:AL66"/>
    <mergeCell ref="AD67:AL67"/>
    <mergeCell ref="AD68:AL68"/>
    <mergeCell ref="AD69:AL69"/>
    <mergeCell ref="AD64:AL64"/>
    <mergeCell ref="J70:S70"/>
    <mergeCell ref="T70:AC70"/>
    <mergeCell ref="AD70:AL70"/>
    <mergeCell ref="A76:I76"/>
    <mergeCell ref="A77:I77"/>
    <mergeCell ref="T74:AC74"/>
    <mergeCell ref="J72:S72"/>
    <mergeCell ref="J73:S73"/>
    <mergeCell ref="J74:S74"/>
    <mergeCell ref="T51:AC51"/>
    <mergeCell ref="T52:AC52"/>
    <mergeCell ref="T53:AC53"/>
    <mergeCell ref="T54:AC54"/>
    <mergeCell ref="T55:AC55"/>
    <mergeCell ref="T56:AC56"/>
    <mergeCell ref="T57:AC57"/>
    <mergeCell ref="T58:AC58"/>
    <mergeCell ref="T59:AC59"/>
    <mergeCell ref="T60:AC60"/>
    <mergeCell ref="T61:AC61"/>
    <mergeCell ref="T62:AC62"/>
    <mergeCell ref="T63:AC63"/>
    <mergeCell ref="T64:AC64"/>
    <mergeCell ref="T65:AC65"/>
    <mergeCell ref="T66:AC66"/>
    <mergeCell ref="T67:AC67"/>
    <mergeCell ref="T68:AC68"/>
    <mergeCell ref="T69:AC69"/>
    <mergeCell ref="T71:AC71"/>
    <mergeCell ref="T72:AC72"/>
    <mergeCell ref="J51:S51"/>
    <mergeCell ref="J52:S52"/>
    <mergeCell ref="J53:S53"/>
    <mergeCell ref="J54:S54"/>
    <mergeCell ref="J55:S55"/>
    <mergeCell ref="A62:I62"/>
    <mergeCell ref="A63:I63"/>
    <mergeCell ref="J64:S64"/>
    <mergeCell ref="J65:S65"/>
    <mergeCell ref="J66:S66"/>
    <mergeCell ref="J67:S67"/>
    <mergeCell ref="J68:S68"/>
    <mergeCell ref="J69:S69"/>
    <mergeCell ref="J71:S71"/>
    <mergeCell ref="A101:I101"/>
    <mergeCell ref="A102:I102"/>
    <mergeCell ref="A103:I103"/>
    <mergeCell ref="A92:I92"/>
    <mergeCell ref="A93:I93"/>
    <mergeCell ref="A94:I94"/>
    <mergeCell ref="A95:I95"/>
    <mergeCell ref="A96:I96"/>
    <mergeCell ref="A97:I97"/>
    <mergeCell ref="A98:I98"/>
    <mergeCell ref="A99:I99"/>
    <mergeCell ref="A100:I100"/>
    <mergeCell ref="A83:I83"/>
    <mergeCell ref="A84:I84"/>
    <mergeCell ref="A85:I85"/>
    <mergeCell ref="A86:I86"/>
    <mergeCell ref="A87:I87"/>
    <mergeCell ref="A88:I88"/>
    <mergeCell ref="A89:I89"/>
    <mergeCell ref="A90:I90"/>
    <mergeCell ref="A91:I91"/>
    <mergeCell ref="A74:I74"/>
    <mergeCell ref="A75:I75"/>
    <mergeCell ref="A53:I53"/>
    <mergeCell ref="A54:I54"/>
    <mergeCell ref="AD50:AL50"/>
    <mergeCell ref="AD51:AL51"/>
    <mergeCell ref="AD52:AL52"/>
    <mergeCell ref="AD53:AL53"/>
    <mergeCell ref="AD54:AL54"/>
    <mergeCell ref="J58:S58"/>
    <mergeCell ref="J59:S59"/>
    <mergeCell ref="J60:S60"/>
    <mergeCell ref="J61:S61"/>
    <mergeCell ref="J62:S62"/>
    <mergeCell ref="A78:I78"/>
    <mergeCell ref="A79:I79"/>
    <mergeCell ref="A81:I81"/>
    <mergeCell ref="A82:I82"/>
    <mergeCell ref="A64:I64"/>
    <mergeCell ref="A65:I65"/>
    <mergeCell ref="A66:I66"/>
    <mergeCell ref="A67:I67"/>
    <mergeCell ref="A68:I68"/>
    <mergeCell ref="A69:I69"/>
    <mergeCell ref="A71:I71"/>
    <mergeCell ref="A72:I72"/>
    <mergeCell ref="A73:I73"/>
    <mergeCell ref="A55:I55"/>
    <mergeCell ref="A56:I56"/>
    <mergeCell ref="A57:I57"/>
    <mergeCell ref="A58:I58"/>
    <mergeCell ref="A59:I59"/>
    <mergeCell ref="A60:I60"/>
    <mergeCell ref="A61:I61"/>
    <mergeCell ref="AW53:BE53"/>
    <mergeCell ref="BF53:BO53"/>
    <mergeCell ref="AW54:BE54"/>
    <mergeCell ref="BF54:BO54"/>
    <mergeCell ref="A28:C29"/>
    <mergeCell ref="D28:K28"/>
    <mergeCell ref="L28:S28"/>
    <mergeCell ref="T28:AA28"/>
    <mergeCell ref="J63:S63"/>
    <mergeCell ref="AD55:AL55"/>
    <mergeCell ref="AD56:AL56"/>
    <mergeCell ref="AD57:AL57"/>
    <mergeCell ref="AD58:AL58"/>
    <mergeCell ref="AD59:AL59"/>
    <mergeCell ref="AM50:AV50"/>
    <mergeCell ref="AM51:AV51"/>
    <mergeCell ref="AM52:AV52"/>
    <mergeCell ref="AM53:AV53"/>
    <mergeCell ref="AM54:AV54"/>
    <mergeCell ref="AJ30:AK30"/>
    <mergeCell ref="AL30:AM30"/>
    <mergeCell ref="AN30:AO30"/>
    <mergeCell ref="AP30:AQ30"/>
    <mergeCell ref="AH32:AI32"/>
    <mergeCell ref="AJ32:AK32"/>
    <mergeCell ref="AL32:AM32"/>
    <mergeCell ref="AN32:AO32"/>
    <mergeCell ref="AP32:AQ32"/>
    <mergeCell ref="A50:I50"/>
    <mergeCell ref="J50:S50"/>
    <mergeCell ref="T50:AC50"/>
    <mergeCell ref="A51:I51"/>
    <mergeCell ref="CG13:CN13"/>
    <mergeCell ref="CG14:CH14"/>
    <mergeCell ref="CO23:CP23"/>
    <mergeCell ref="CQ23:CR23"/>
    <mergeCell ref="CU14:CV14"/>
    <mergeCell ref="CS15:CT15"/>
    <mergeCell ref="T13:AA13"/>
    <mergeCell ref="CU23:CV23"/>
    <mergeCell ref="A26:BG26"/>
    <mergeCell ref="BH26:BO26"/>
    <mergeCell ref="CO26:CV26"/>
    <mergeCell ref="BQ26:CN26"/>
    <mergeCell ref="AW50:BE50"/>
    <mergeCell ref="BF50:BO50"/>
    <mergeCell ref="AW51:BE51"/>
    <mergeCell ref="BF51:BO51"/>
    <mergeCell ref="AW52:BE52"/>
    <mergeCell ref="BF52:BO52"/>
    <mergeCell ref="A52:I52"/>
    <mergeCell ref="BP50:BS50"/>
    <mergeCell ref="BP51:BS51"/>
    <mergeCell ref="BP52:BS52"/>
    <mergeCell ref="AB28:AI28"/>
    <mergeCell ref="AJ28:AQ28"/>
    <mergeCell ref="AR28:AY28"/>
    <mergeCell ref="AZ28:BG28"/>
    <mergeCell ref="BH28:BO28"/>
    <mergeCell ref="AR29:AS29"/>
    <mergeCell ref="AT29:AU29"/>
    <mergeCell ref="AV29:AW29"/>
    <mergeCell ref="AX29:AY29"/>
    <mergeCell ref="AZ29:BA29"/>
    <mergeCell ref="CO25:CP25"/>
    <mergeCell ref="CQ25:CR25"/>
    <mergeCell ref="CO20:CP20"/>
    <mergeCell ref="CQ20:CR20"/>
    <mergeCell ref="CO21:CP21"/>
    <mergeCell ref="CQ21:CR21"/>
    <mergeCell ref="CO22:CP22"/>
    <mergeCell ref="CQ22:CR22"/>
    <mergeCell ref="CS25:CT25"/>
    <mergeCell ref="CU25:CV25"/>
    <mergeCell ref="A21:C21"/>
    <mergeCell ref="A22:C22"/>
    <mergeCell ref="A23:C23"/>
    <mergeCell ref="A24:C24"/>
    <mergeCell ref="A25:C25"/>
    <mergeCell ref="A13:C14"/>
    <mergeCell ref="A15:C15"/>
    <mergeCell ref="A16:C16"/>
    <mergeCell ref="A17:C17"/>
    <mergeCell ref="A18:C18"/>
    <mergeCell ref="A19:C19"/>
    <mergeCell ref="A20:C20"/>
    <mergeCell ref="CS17:CT17"/>
    <mergeCell ref="CS18:CT18"/>
    <mergeCell ref="CS19:CT19"/>
    <mergeCell ref="CS14:CT14"/>
    <mergeCell ref="CO13:CV13"/>
    <mergeCell ref="CO14:CP14"/>
    <mergeCell ref="CQ14:CR14"/>
    <mergeCell ref="CO15:CP15"/>
    <mergeCell ref="CQ15:CR15"/>
    <mergeCell ref="CO16:CP16"/>
    <mergeCell ref="CU15:CV15"/>
    <mergeCell ref="CS16:CT16"/>
    <mergeCell ref="CU16:CV16"/>
    <mergeCell ref="CQ16:CR16"/>
    <mergeCell ref="CU17:CV17"/>
    <mergeCell ref="CU18:CV18"/>
    <mergeCell ref="CU19:CV19"/>
    <mergeCell ref="CK19:CL19"/>
    <mergeCell ref="CM19:CN19"/>
    <mergeCell ref="CM17:CN17"/>
    <mergeCell ref="CO17:CP17"/>
    <mergeCell ref="CQ17:CR17"/>
    <mergeCell ref="CO18:CP18"/>
    <mergeCell ref="CQ18:CR18"/>
    <mergeCell ref="CO19:CP19"/>
    <mergeCell ref="CQ19:CR19"/>
    <mergeCell ref="CS24:CT24"/>
    <mergeCell ref="CU24:CV24"/>
    <mergeCell ref="CS20:CT20"/>
    <mergeCell ref="CU20:CV20"/>
    <mergeCell ref="CS21:CT21"/>
    <mergeCell ref="CU21:CV21"/>
    <mergeCell ref="CS22:CT22"/>
    <mergeCell ref="CU22:CV22"/>
    <mergeCell ref="CS23:CT23"/>
    <mergeCell ref="CO24:CP24"/>
    <mergeCell ref="CQ24:CR24"/>
    <mergeCell ref="CK20:CL20"/>
    <mergeCell ref="CM20:CN20"/>
    <mergeCell ref="CK24:CL24"/>
    <mergeCell ref="CM24:CN24"/>
    <mergeCell ref="CG25:CH25"/>
    <mergeCell ref="CI25:CJ25"/>
    <mergeCell ref="CK25:CL25"/>
    <mergeCell ref="CM25:CN25"/>
    <mergeCell ref="CG22:CH22"/>
    <mergeCell ref="CI22:CJ22"/>
    <mergeCell ref="CK22:CL22"/>
    <mergeCell ref="CM22:CN22"/>
    <mergeCell ref="CG23:CH23"/>
    <mergeCell ref="CI23:CJ23"/>
    <mergeCell ref="CK23:CL23"/>
    <mergeCell ref="CM23:CN23"/>
    <mergeCell ref="CI14:CJ14"/>
    <mergeCell ref="CK14:CL14"/>
    <mergeCell ref="CM14:CN14"/>
    <mergeCell ref="CG15:CH15"/>
    <mergeCell ref="CI15:CJ15"/>
    <mergeCell ref="CK15:CL15"/>
    <mergeCell ref="CM15:CN15"/>
    <mergeCell ref="CK18:CL18"/>
    <mergeCell ref="CM18:CN18"/>
    <mergeCell ref="CG16:CH16"/>
    <mergeCell ref="CI16:CJ16"/>
    <mergeCell ref="CK16:CL16"/>
    <mergeCell ref="CM16:CN16"/>
    <mergeCell ref="CG17:CH17"/>
    <mergeCell ref="CI17:CJ17"/>
    <mergeCell ref="CK17:CL17"/>
    <mergeCell ref="CK21:CL21"/>
    <mergeCell ref="CM21:CN21"/>
    <mergeCell ref="CA20:CB20"/>
    <mergeCell ref="CC20:CD20"/>
    <mergeCell ref="CE20:CF20"/>
    <mergeCell ref="BY21:BZ21"/>
    <mergeCell ref="CA21:CB21"/>
    <mergeCell ref="CC21:CD21"/>
    <mergeCell ref="CE21:CF21"/>
    <mergeCell ref="CG18:CH18"/>
    <mergeCell ref="CI18:CJ18"/>
    <mergeCell ref="CG20:CH20"/>
    <mergeCell ref="CI20:CJ20"/>
    <mergeCell ref="CG21:CH21"/>
    <mergeCell ref="CI21:CJ21"/>
    <mergeCell ref="CG19:CH19"/>
    <mergeCell ref="CI19:CJ19"/>
    <mergeCell ref="BY24:BZ24"/>
    <mergeCell ref="CA24:CB24"/>
    <mergeCell ref="CC24:CD24"/>
    <mergeCell ref="CE24:CF24"/>
    <mergeCell ref="CG24:CH24"/>
    <mergeCell ref="CI24:CJ24"/>
    <mergeCell ref="BY22:BZ22"/>
    <mergeCell ref="BY25:BZ25"/>
    <mergeCell ref="CA25:CB25"/>
    <mergeCell ref="CC25:CD25"/>
    <mergeCell ref="CE25:CF25"/>
    <mergeCell ref="CA22:CB22"/>
    <mergeCell ref="CC22:CD22"/>
    <mergeCell ref="CE22:CF22"/>
    <mergeCell ref="BY23:BZ23"/>
    <mergeCell ref="CA23:CB23"/>
    <mergeCell ref="CC23:CD23"/>
    <mergeCell ref="CE23:CF23"/>
    <mergeCell ref="BH13:BO13"/>
    <mergeCell ref="CA18:CB18"/>
    <mergeCell ref="CC18:CD18"/>
    <mergeCell ref="CE18:CF18"/>
    <mergeCell ref="BY19:BZ19"/>
    <mergeCell ref="CA19:CB19"/>
    <mergeCell ref="CC19:CD19"/>
    <mergeCell ref="CE19:CF19"/>
    <mergeCell ref="CA16:CB16"/>
    <mergeCell ref="CC16:CD16"/>
    <mergeCell ref="CE16:CF16"/>
    <mergeCell ref="BY17:BZ17"/>
    <mergeCell ref="CA17:CB17"/>
    <mergeCell ref="CC17:CD17"/>
    <mergeCell ref="CE17:CF17"/>
    <mergeCell ref="BY13:CF13"/>
    <mergeCell ref="BY14:BZ14"/>
    <mergeCell ref="CA14:CB14"/>
    <mergeCell ref="CC14:CD14"/>
    <mergeCell ref="CE14:CF14"/>
    <mergeCell ref="BY15:BZ15"/>
    <mergeCell ref="CA15:CB15"/>
    <mergeCell ref="CC15:CD15"/>
    <mergeCell ref="CE15:CF15"/>
    <mergeCell ref="BQ13:BX13"/>
    <mergeCell ref="BL23:BM23"/>
    <mergeCell ref="BN23:BO23"/>
    <mergeCell ref="BL24:BM24"/>
    <mergeCell ref="BN24:BO24"/>
    <mergeCell ref="BL25:BM25"/>
    <mergeCell ref="BN25:BO25"/>
    <mergeCell ref="BL20:BM20"/>
    <mergeCell ref="BN20:BO20"/>
    <mergeCell ref="BL21:BM21"/>
    <mergeCell ref="BN21:BO21"/>
    <mergeCell ref="BL22:BM22"/>
    <mergeCell ref="BN22:BO22"/>
    <mergeCell ref="BL17:BM17"/>
    <mergeCell ref="BN17:BO17"/>
    <mergeCell ref="BL18:BM18"/>
    <mergeCell ref="BN18:BO18"/>
    <mergeCell ref="BL19:BM19"/>
    <mergeCell ref="BN19:BO19"/>
    <mergeCell ref="BL14:BM14"/>
    <mergeCell ref="BN14:BO14"/>
    <mergeCell ref="BL15:BM15"/>
    <mergeCell ref="BN15:BO15"/>
    <mergeCell ref="BL16:BM16"/>
    <mergeCell ref="BU14:BV14"/>
    <mergeCell ref="BW14:BX14"/>
    <mergeCell ref="BU15:BV15"/>
    <mergeCell ref="BW15:BX15"/>
    <mergeCell ref="BU16:BV16"/>
    <mergeCell ref="BS15:BT15"/>
    <mergeCell ref="BH25:BI25"/>
    <mergeCell ref="BJ25:BK25"/>
    <mergeCell ref="BH20:BI20"/>
    <mergeCell ref="BJ20:BK20"/>
    <mergeCell ref="BH21:BI21"/>
    <mergeCell ref="BJ21:BK21"/>
    <mergeCell ref="BH22:BI22"/>
    <mergeCell ref="BJ22:BK22"/>
    <mergeCell ref="BH18:BI18"/>
    <mergeCell ref="BJ18:BK18"/>
    <mergeCell ref="BH19:BI19"/>
    <mergeCell ref="BJ19:BK19"/>
    <mergeCell ref="BW24:BX24"/>
    <mergeCell ref="BS25:BT25"/>
    <mergeCell ref="BU25:BV25"/>
    <mergeCell ref="BW25:BX25"/>
    <mergeCell ref="BQ25:BR25"/>
    <mergeCell ref="BW20:BX20"/>
    <mergeCell ref="BW21:BX21"/>
    <mergeCell ref="BW22:BX22"/>
    <mergeCell ref="BW23:BX23"/>
    <mergeCell ref="BU21:BV21"/>
    <mergeCell ref="BQ15:BR15"/>
    <mergeCell ref="BH14:BI14"/>
    <mergeCell ref="BJ14:BK14"/>
    <mergeCell ref="BH15:BI15"/>
    <mergeCell ref="BJ15:BK15"/>
    <mergeCell ref="BH16:BI16"/>
    <mergeCell ref="AZ23:BA23"/>
    <mergeCell ref="BB23:BC23"/>
    <mergeCell ref="BD23:BE23"/>
    <mergeCell ref="BF23:BG23"/>
    <mergeCell ref="AZ24:BA24"/>
    <mergeCell ref="BB24:BC24"/>
    <mergeCell ref="BD24:BE24"/>
    <mergeCell ref="BF24:BG24"/>
    <mergeCell ref="AZ21:BA21"/>
    <mergeCell ref="BB21:BC21"/>
    <mergeCell ref="BD21:BE21"/>
    <mergeCell ref="BF21:BG21"/>
    <mergeCell ref="AZ22:BA22"/>
    <mergeCell ref="BB22:BC22"/>
    <mergeCell ref="BD22:BE22"/>
    <mergeCell ref="BD15:BE15"/>
    <mergeCell ref="BF15:BG15"/>
    <mergeCell ref="AZ16:BA16"/>
    <mergeCell ref="BB16:BC16"/>
    <mergeCell ref="BD16:BE16"/>
    <mergeCell ref="BF16:BG16"/>
    <mergeCell ref="BD19:BE19"/>
    <mergeCell ref="BF19:BG19"/>
    <mergeCell ref="BJ16:BK16"/>
    <mergeCell ref="BH17:BI17"/>
    <mergeCell ref="BJ17:BK17"/>
    <mergeCell ref="AR25:AS25"/>
    <mergeCell ref="AT25:AU25"/>
    <mergeCell ref="AV25:AW25"/>
    <mergeCell ref="AX25:AY25"/>
    <mergeCell ref="AV17:AW17"/>
    <mergeCell ref="AX17:AY17"/>
    <mergeCell ref="AR18:AS18"/>
    <mergeCell ref="AT18:AU18"/>
    <mergeCell ref="AV18:AW18"/>
    <mergeCell ref="AX18:AY18"/>
    <mergeCell ref="AT15:AU15"/>
    <mergeCell ref="AV15:AW15"/>
    <mergeCell ref="AX15:AY15"/>
    <mergeCell ref="AR16:AS16"/>
    <mergeCell ref="AT16:AU16"/>
    <mergeCell ref="AV16:AW16"/>
    <mergeCell ref="AZ25:BA25"/>
    <mergeCell ref="AR24:AS24"/>
    <mergeCell ref="AT24:AU24"/>
    <mergeCell ref="AV24:AW24"/>
    <mergeCell ref="AX24:AY24"/>
    <mergeCell ref="AR21:AS21"/>
    <mergeCell ref="AT21:AU21"/>
    <mergeCell ref="AV21:AW21"/>
    <mergeCell ref="AX16:AY16"/>
    <mergeCell ref="AX21:AY21"/>
    <mergeCell ref="AR22:AS22"/>
    <mergeCell ref="AT22:AU22"/>
    <mergeCell ref="AV22:AW22"/>
    <mergeCell ref="AX22:AY22"/>
    <mergeCell ref="AZ13:BG13"/>
    <mergeCell ref="AZ14:BA14"/>
    <mergeCell ref="BB14:BC14"/>
    <mergeCell ref="BD14:BE14"/>
    <mergeCell ref="BF14:BG14"/>
    <mergeCell ref="AZ15:BA15"/>
    <mergeCell ref="AR23:AS23"/>
    <mergeCell ref="AT23:AU23"/>
    <mergeCell ref="AV23:AW23"/>
    <mergeCell ref="AX23:AY23"/>
    <mergeCell ref="AR19:AS19"/>
    <mergeCell ref="AT19:AU19"/>
    <mergeCell ref="AV19:AW19"/>
    <mergeCell ref="AX19:AY19"/>
    <mergeCell ref="AR20:AS20"/>
    <mergeCell ref="AT20:AU20"/>
    <mergeCell ref="AV20:AW20"/>
    <mergeCell ref="AX20:AY20"/>
    <mergeCell ref="AR17:AS17"/>
    <mergeCell ref="AT17:AU17"/>
    <mergeCell ref="BF20:BG20"/>
    <mergeCell ref="AZ17:BA17"/>
    <mergeCell ref="BB17:BC17"/>
    <mergeCell ref="BD17:BE17"/>
    <mergeCell ref="BF22:BG22"/>
    <mergeCell ref="BB15:BC15"/>
    <mergeCell ref="AZ19:BA19"/>
    <mergeCell ref="BD18:BE18"/>
    <mergeCell ref="BF18:BG18"/>
    <mergeCell ref="AJ13:AQ13"/>
    <mergeCell ref="AJ14:AK14"/>
    <mergeCell ref="AL14:AM14"/>
    <mergeCell ref="AN14:AO14"/>
    <mergeCell ref="AP14:AQ14"/>
    <mergeCell ref="AJ15:AK15"/>
    <mergeCell ref="AB25:AC25"/>
    <mergeCell ref="AD25:AE25"/>
    <mergeCell ref="AF25:AG25"/>
    <mergeCell ref="AH25:AI25"/>
    <mergeCell ref="AF20:AG20"/>
    <mergeCell ref="AH20:AI20"/>
    <mergeCell ref="AB17:AC17"/>
    <mergeCell ref="AD17:AE17"/>
    <mergeCell ref="AR13:AY13"/>
    <mergeCell ref="AR14:AS14"/>
    <mergeCell ref="AT14:AU14"/>
    <mergeCell ref="AV14:AW14"/>
    <mergeCell ref="AX14:AY14"/>
    <mergeCell ref="AR15:AS15"/>
    <mergeCell ref="AJ23:AK23"/>
    <mergeCell ref="AL23:AM23"/>
    <mergeCell ref="AN23:AO23"/>
    <mergeCell ref="AP23:AQ23"/>
    <mergeCell ref="AJ24:AK24"/>
    <mergeCell ref="AL24:AM24"/>
    <mergeCell ref="AN24:AO24"/>
    <mergeCell ref="AP24:AQ24"/>
    <mergeCell ref="AJ21:AK21"/>
    <mergeCell ref="AL21:AM21"/>
    <mergeCell ref="AL15:AM15"/>
    <mergeCell ref="AN15:AO15"/>
    <mergeCell ref="AB21:AC21"/>
    <mergeCell ref="AD21:AE21"/>
    <mergeCell ref="AD15:AE15"/>
    <mergeCell ref="AF15:AG15"/>
    <mergeCell ref="AH15:AI15"/>
    <mergeCell ref="AJ25:AK25"/>
    <mergeCell ref="AL25:AM25"/>
    <mergeCell ref="AN25:AO25"/>
    <mergeCell ref="AP25:AQ25"/>
    <mergeCell ref="AN21:AO21"/>
    <mergeCell ref="AP21:AQ21"/>
    <mergeCell ref="AJ22:AK22"/>
    <mergeCell ref="AL22:AM22"/>
    <mergeCell ref="AN22:AO22"/>
    <mergeCell ref="AP22:AQ22"/>
    <mergeCell ref="AJ19:AK19"/>
    <mergeCell ref="AL19:AM19"/>
    <mergeCell ref="AN19:AO19"/>
    <mergeCell ref="AP19:AQ19"/>
    <mergeCell ref="AJ20:AK20"/>
    <mergeCell ref="AJ17:AK17"/>
    <mergeCell ref="AP15:AQ15"/>
    <mergeCell ref="AJ16:AK16"/>
    <mergeCell ref="AL16:AM16"/>
    <mergeCell ref="AN16:AO16"/>
    <mergeCell ref="AP16:AQ16"/>
    <mergeCell ref="AH22:AI22"/>
    <mergeCell ref="D13:K13"/>
    <mergeCell ref="L13:S13"/>
    <mergeCell ref="L14:M14"/>
    <mergeCell ref="N14:O14"/>
    <mergeCell ref="P14:Q14"/>
    <mergeCell ref="R14:S14"/>
    <mergeCell ref="L15:M15"/>
    <mergeCell ref="N15:O15"/>
    <mergeCell ref="AB23:AC23"/>
    <mergeCell ref="AD23:AE23"/>
    <mergeCell ref="AF23:AG23"/>
    <mergeCell ref="AH23:AI23"/>
    <mergeCell ref="AB19:AC19"/>
    <mergeCell ref="AD19:AE19"/>
    <mergeCell ref="AF19:AG19"/>
    <mergeCell ref="AH19:AI19"/>
    <mergeCell ref="AB20:AC20"/>
    <mergeCell ref="AB14:AC14"/>
    <mergeCell ref="AD14:AE14"/>
    <mergeCell ref="AF14:AG14"/>
    <mergeCell ref="AH14:AI14"/>
    <mergeCell ref="AB15:AC15"/>
    <mergeCell ref="AB13:AI13"/>
    <mergeCell ref="T14:U14"/>
    <mergeCell ref="V14:W14"/>
    <mergeCell ref="X14:Y14"/>
    <mergeCell ref="Z14:AA14"/>
    <mergeCell ref="T15:U15"/>
    <mergeCell ref="L23:M23"/>
    <mergeCell ref="N23:O23"/>
    <mergeCell ref="P23:Q23"/>
    <mergeCell ref="R23:S23"/>
    <mergeCell ref="L21:M21"/>
    <mergeCell ref="N21:O21"/>
    <mergeCell ref="P21:Q21"/>
    <mergeCell ref="R21:S21"/>
    <mergeCell ref="L22:M22"/>
    <mergeCell ref="N22:O22"/>
    <mergeCell ref="P22:Q22"/>
    <mergeCell ref="R22:S22"/>
    <mergeCell ref="L19:M19"/>
    <mergeCell ref="N19:O19"/>
    <mergeCell ref="P19:Q19"/>
    <mergeCell ref="L20:M20"/>
    <mergeCell ref="N20:O20"/>
    <mergeCell ref="J18:K18"/>
    <mergeCell ref="H19:I19"/>
    <mergeCell ref="J19:K19"/>
    <mergeCell ref="H20:I20"/>
    <mergeCell ref="J20:K20"/>
    <mergeCell ref="H21:I21"/>
    <mergeCell ref="J21:K21"/>
    <mergeCell ref="H14:I14"/>
    <mergeCell ref="J14:K14"/>
    <mergeCell ref="H15:I15"/>
    <mergeCell ref="J15:K15"/>
    <mergeCell ref="D22:E22"/>
    <mergeCell ref="F22:G22"/>
    <mergeCell ref="D19:E19"/>
    <mergeCell ref="BU24:BV24"/>
    <mergeCell ref="BQ23:BR23"/>
    <mergeCell ref="D23:E23"/>
    <mergeCell ref="F23:G23"/>
    <mergeCell ref="T22:U22"/>
    <mergeCell ref="V22:W22"/>
    <mergeCell ref="X22:Y22"/>
    <mergeCell ref="Z22:AA22"/>
    <mergeCell ref="BQ22:BR22"/>
    <mergeCell ref="BS22:BT22"/>
    <mergeCell ref="AF21:AG21"/>
    <mergeCell ref="P20:Q20"/>
    <mergeCell ref="R20:S20"/>
    <mergeCell ref="R19:S19"/>
    <mergeCell ref="BU20:BV20"/>
    <mergeCell ref="Z17:AA17"/>
    <mergeCell ref="F19:G19"/>
    <mergeCell ref="AL18:AM18"/>
    <mergeCell ref="BU22:BV22"/>
    <mergeCell ref="BQ21:BR21"/>
    <mergeCell ref="D21:E21"/>
    <mergeCell ref="F21:G21"/>
    <mergeCell ref="BS23:BT23"/>
    <mergeCell ref="BU23:BV23"/>
    <mergeCell ref="V23:W23"/>
    <mergeCell ref="X23:Y23"/>
    <mergeCell ref="Z23:AA23"/>
    <mergeCell ref="T21:U21"/>
    <mergeCell ref="V21:W21"/>
    <mergeCell ref="X21:Y21"/>
    <mergeCell ref="Z21:AA21"/>
    <mergeCell ref="H22:I22"/>
    <mergeCell ref="J22:K22"/>
    <mergeCell ref="BH23:BI23"/>
    <mergeCell ref="BJ23:BK23"/>
    <mergeCell ref="BB19:BC19"/>
    <mergeCell ref="D25:E25"/>
    <mergeCell ref="F25:G25"/>
    <mergeCell ref="BQ24:BR24"/>
    <mergeCell ref="BS24:BT24"/>
    <mergeCell ref="D24:E24"/>
    <mergeCell ref="F24:G24"/>
    <mergeCell ref="T23:U23"/>
    <mergeCell ref="H23:I23"/>
    <mergeCell ref="J23:K23"/>
    <mergeCell ref="H24:I24"/>
    <mergeCell ref="J24:K24"/>
    <mergeCell ref="L24:M24"/>
    <mergeCell ref="N24:O24"/>
    <mergeCell ref="P24:Q24"/>
    <mergeCell ref="R24:S24"/>
    <mergeCell ref="AZ20:BA20"/>
    <mergeCell ref="BB20:BC20"/>
    <mergeCell ref="BD20:BE20"/>
    <mergeCell ref="BH24:BI24"/>
    <mergeCell ref="BJ24:BK24"/>
    <mergeCell ref="BB25:BC25"/>
    <mergeCell ref="BD25:BE25"/>
    <mergeCell ref="BF25:BG25"/>
    <mergeCell ref="Z19:AA19"/>
    <mergeCell ref="H25:I25"/>
    <mergeCell ref="J25:K25"/>
    <mergeCell ref="L25:M25"/>
    <mergeCell ref="N25:O25"/>
    <mergeCell ref="P25:Q25"/>
    <mergeCell ref="R25:S25"/>
    <mergeCell ref="T25:U25"/>
    <mergeCell ref="V25:W25"/>
    <mergeCell ref="X25:Y25"/>
    <mergeCell ref="Z25:AA25"/>
    <mergeCell ref="AD20:AE20"/>
    <mergeCell ref="BQ19:BR19"/>
    <mergeCell ref="X20:Y20"/>
    <mergeCell ref="Z20:AA20"/>
    <mergeCell ref="T24:U24"/>
    <mergeCell ref="V24:W24"/>
    <mergeCell ref="X24:Y24"/>
    <mergeCell ref="Z24:AA24"/>
    <mergeCell ref="T19:U19"/>
    <mergeCell ref="T20:U20"/>
    <mergeCell ref="V20:W20"/>
    <mergeCell ref="AB24:AC24"/>
    <mergeCell ref="AD24:AE24"/>
    <mergeCell ref="AF24:AG24"/>
    <mergeCell ref="AH24:AI24"/>
    <mergeCell ref="AH21:AI21"/>
    <mergeCell ref="AB22:AC22"/>
    <mergeCell ref="AD22:AE22"/>
    <mergeCell ref="AF22:AG22"/>
    <mergeCell ref="D15:E15"/>
    <mergeCell ref="F15:G15"/>
    <mergeCell ref="D18:E18"/>
    <mergeCell ref="F18:G18"/>
    <mergeCell ref="BS17:BT17"/>
    <mergeCell ref="BU17:BV17"/>
    <mergeCell ref="BW17:BX17"/>
    <mergeCell ref="BU18:BV18"/>
    <mergeCell ref="BW18:BX18"/>
    <mergeCell ref="BQ17:BR17"/>
    <mergeCell ref="BS21:BT21"/>
    <mergeCell ref="D17:E17"/>
    <mergeCell ref="F17:G17"/>
    <mergeCell ref="BQ20:BR20"/>
    <mergeCell ref="BS20:BT20"/>
    <mergeCell ref="D20:E20"/>
    <mergeCell ref="F20:G20"/>
    <mergeCell ref="BS19:BT19"/>
    <mergeCell ref="H17:I17"/>
    <mergeCell ref="J17:K17"/>
    <mergeCell ref="H18:I18"/>
    <mergeCell ref="L17:M17"/>
    <mergeCell ref="N17:O17"/>
    <mergeCell ref="P17:Q17"/>
    <mergeCell ref="BQ16:BR16"/>
    <mergeCell ref="BS16:BT16"/>
    <mergeCell ref="D16:E16"/>
    <mergeCell ref="T18:U18"/>
    <mergeCell ref="V18:W18"/>
    <mergeCell ref="X18:Y18"/>
    <mergeCell ref="AZ18:BA18"/>
    <mergeCell ref="BB18:BC18"/>
    <mergeCell ref="V16:W16"/>
    <mergeCell ref="X16:Y16"/>
    <mergeCell ref="Z16:AA16"/>
    <mergeCell ref="R16:S16"/>
    <mergeCell ref="AB16:AC16"/>
    <mergeCell ref="AD16:AE16"/>
    <mergeCell ref="AF16:AG16"/>
    <mergeCell ref="BY16:BZ16"/>
    <mergeCell ref="BY18:BZ18"/>
    <mergeCell ref="BY20:BZ20"/>
    <mergeCell ref="Z18:AA18"/>
    <mergeCell ref="AF17:AG17"/>
    <mergeCell ref="AH17:AI17"/>
    <mergeCell ref="AB18:AC18"/>
    <mergeCell ref="AD18:AE18"/>
    <mergeCell ref="AF18:AG18"/>
    <mergeCell ref="AH18:AI18"/>
    <mergeCell ref="AL20:AM20"/>
    <mergeCell ref="AN20:AO20"/>
    <mergeCell ref="AP20:AQ20"/>
    <mergeCell ref="T17:U17"/>
    <mergeCell ref="V17:W17"/>
    <mergeCell ref="X17:Y17"/>
    <mergeCell ref="V19:W19"/>
    <mergeCell ref="X19:Y19"/>
    <mergeCell ref="AN18:AO18"/>
    <mergeCell ref="BW16:BX16"/>
    <mergeCell ref="BN16:BO16"/>
    <mergeCell ref="BU19:BV19"/>
    <mergeCell ref="BW19:BX19"/>
    <mergeCell ref="A1:CD1"/>
    <mergeCell ref="A2:CD2"/>
    <mergeCell ref="BQ14:BR14"/>
    <mergeCell ref="BS14:BT14"/>
    <mergeCell ref="D14:E14"/>
    <mergeCell ref="F14:G14"/>
    <mergeCell ref="BQ18:BR18"/>
    <mergeCell ref="BS18:BT18"/>
    <mergeCell ref="J16:K16"/>
    <mergeCell ref="R17:S17"/>
    <mergeCell ref="L18:M18"/>
    <mergeCell ref="N18:O18"/>
    <mergeCell ref="P18:Q18"/>
    <mergeCell ref="R18:S18"/>
    <mergeCell ref="P15:Q15"/>
    <mergeCell ref="R15:S15"/>
    <mergeCell ref="L16:M16"/>
    <mergeCell ref="N16:O16"/>
    <mergeCell ref="P16:Q16"/>
    <mergeCell ref="H16:I16"/>
    <mergeCell ref="V15:W15"/>
    <mergeCell ref="X15:Y15"/>
    <mergeCell ref="Z15:AA15"/>
    <mergeCell ref="T16:U16"/>
    <mergeCell ref="BH4:CD4"/>
    <mergeCell ref="BH5:CD5"/>
    <mergeCell ref="BH6:CD6"/>
    <mergeCell ref="BH7:CD7"/>
    <mergeCell ref="BH8:CD8"/>
    <mergeCell ref="P8:Y8"/>
    <mergeCell ref="Z8:AI8"/>
    <mergeCell ref="A4:O4"/>
    <mergeCell ref="A5:O5"/>
    <mergeCell ref="A8:O8"/>
    <mergeCell ref="P4:AI4"/>
    <mergeCell ref="P5:AI5"/>
    <mergeCell ref="A9:AQ9"/>
    <mergeCell ref="A3:AQ3"/>
    <mergeCell ref="A6:O7"/>
    <mergeCell ref="P6:AI7"/>
    <mergeCell ref="AK4:BG4"/>
    <mergeCell ref="AK5:BG5"/>
    <mergeCell ref="AK6:BG6"/>
    <mergeCell ref="AK7:BG7"/>
    <mergeCell ref="AK8:BG8"/>
    <mergeCell ref="J81:S81"/>
    <mergeCell ref="J82:S82"/>
    <mergeCell ref="J83:S83"/>
    <mergeCell ref="J84:S84"/>
    <mergeCell ref="BE81:BJ81"/>
    <mergeCell ref="AS82:AX82"/>
    <mergeCell ref="AS83:AX83"/>
    <mergeCell ref="AS84:AX84"/>
    <mergeCell ref="A80:BU80"/>
    <mergeCell ref="A45:X45"/>
    <mergeCell ref="AD45:BA45"/>
    <mergeCell ref="F16:G16"/>
    <mergeCell ref="AP18:AQ18"/>
    <mergeCell ref="AH16:AI16"/>
    <mergeCell ref="AL17:AM17"/>
    <mergeCell ref="AN17:AO17"/>
    <mergeCell ref="AP17:AQ17"/>
    <mergeCell ref="AJ18:AK18"/>
    <mergeCell ref="BF17:BG17"/>
    <mergeCell ref="J85:S85"/>
    <mergeCell ref="J86:S86"/>
    <mergeCell ref="J87:S87"/>
    <mergeCell ref="J88:S88"/>
    <mergeCell ref="J89:S89"/>
    <mergeCell ref="J90:S90"/>
    <mergeCell ref="J91:S91"/>
    <mergeCell ref="J92:S92"/>
    <mergeCell ref="J93:S93"/>
    <mergeCell ref="J94:S94"/>
    <mergeCell ref="J95:S95"/>
    <mergeCell ref="J96:S96"/>
    <mergeCell ref="J97:S97"/>
    <mergeCell ref="J98:S98"/>
    <mergeCell ref="J99:S99"/>
    <mergeCell ref="J100:S100"/>
    <mergeCell ref="J101:S101"/>
    <mergeCell ref="T99:Y99"/>
    <mergeCell ref="T100:Y100"/>
    <mergeCell ref="T101:Y101"/>
    <mergeCell ref="J102:S102"/>
    <mergeCell ref="J103:S103"/>
    <mergeCell ref="A104:I104"/>
    <mergeCell ref="J104:S104"/>
    <mergeCell ref="A105:I105"/>
    <mergeCell ref="J105:S105"/>
    <mergeCell ref="A106:I106"/>
    <mergeCell ref="J106:S106"/>
    <mergeCell ref="A107:I107"/>
    <mergeCell ref="J107:S107"/>
    <mergeCell ref="A108:I108"/>
    <mergeCell ref="J108:S108"/>
    <mergeCell ref="A109:I109"/>
    <mergeCell ref="J109:S109"/>
    <mergeCell ref="T102:Y102"/>
    <mergeCell ref="T103:Y103"/>
    <mergeCell ref="T104:Y104"/>
    <mergeCell ref="T105:Y105"/>
    <mergeCell ref="T106:Y106"/>
    <mergeCell ref="T107:Y107"/>
    <mergeCell ref="T108:Y108"/>
    <mergeCell ref="T109:Y109"/>
    <mergeCell ref="T82:Y82"/>
    <mergeCell ref="T83:Y83"/>
    <mergeCell ref="T84:Y84"/>
    <mergeCell ref="T85:Y85"/>
    <mergeCell ref="T86:Y86"/>
    <mergeCell ref="T87:Y87"/>
    <mergeCell ref="T88:Y88"/>
    <mergeCell ref="T89:Y89"/>
    <mergeCell ref="T90:Y90"/>
    <mergeCell ref="T91:Y91"/>
    <mergeCell ref="T92:Y92"/>
    <mergeCell ref="T93:Y93"/>
    <mergeCell ref="T94:Y94"/>
    <mergeCell ref="T95:Y95"/>
    <mergeCell ref="T96:Y96"/>
    <mergeCell ref="T97:Y97"/>
    <mergeCell ref="T98:Y98"/>
    <mergeCell ref="AM81:AR81"/>
    <mergeCell ref="AA82:AF82"/>
    <mergeCell ref="AA83:AF83"/>
    <mergeCell ref="AA84:AF84"/>
    <mergeCell ref="AA85:AF85"/>
    <mergeCell ref="AA86:AF86"/>
    <mergeCell ref="AA87:AF87"/>
    <mergeCell ref="AA88:AF88"/>
    <mergeCell ref="AA89:AF89"/>
    <mergeCell ref="AA90:AF90"/>
    <mergeCell ref="AA91:AF91"/>
    <mergeCell ref="AA92:AF92"/>
    <mergeCell ref="AA93:AF93"/>
    <mergeCell ref="AA94:AF94"/>
    <mergeCell ref="AA95:AF95"/>
    <mergeCell ref="AA96:AF96"/>
    <mergeCell ref="AA97:AF97"/>
    <mergeCell ref="AA98:AF98"/>
    <mergeCell ref="AA99:AF99"/>
    <mergeCell ref="AA100:AF100"/>
    <mergeCell ref="AA101:AF101"/>
    <mergeCell ref="AA102:AF102"/>
    <mergeCell ref="AA103:AF103"/>
    <mergeCell ref="AA104:AF104"/>
    <mergeCell ref="AA105:AF105"/>
    <mergeCell ref="AA106:AF106"/>
    <mergeCell ref="AA107:AF107"/>
    <mergeCell ref="AA108:AF108"/>
    <mergeCell ref="AA109:AF109"/>
    <mergeCell ref="AS81:AX81"/>
    <mergeCell ref="AG82:AL82"/>
    <mergeCell ref="AG83:AL83"/>
    <mergeCell ref="AG84:AL84"/>
    <mergeCell ref="AG85:AL85"/>
    <mergeCell ref="AG86:AL86"/>
    <mergeCell ref="AG87:AL87"/>
    <mergeCell ref="AG88:AL88"/>
    <mergeCell ref="AG89:AL89"/>
    <mergeCell ref="AG90:AL90"/>
    <mergeCell ref="AG91:AL91"/>
    <mergeCell ref="AG92:AL92"/>
    <mergeCell ref="AG93:AL93"/>
    <mergeCell ref="AG94:AL94"/>
    <mergeCell ref="AG95:AL95"/>
    <mergeCell ref="AG96:AL96"/>
    <mergeCell ref="AG97:AL97"/>
    <mergeCell ref="AG98:AL98"/>
    <mergeCell ref="AG99:AL99"/>
    <mergeCell ref="AG100:AL100"/>
    <mergeCell ref="AG101:AL101"/>
    <mergeCell ref="AG102:AL102"/>
    <mergeCell ref="AG103:AL103"/>
    <mergeCell ref="AG104:AL104"/>
    <mergeCell ref="AG105:AL105"/>
    <mergeCell ref="AG106:AL106"/>
    <mergeCell ref="AG107:AL107"/>
    <mergeCell ref="AG109:AL109"/>
    <mergeCell ref="BW81:CB81"/>
    <mergeCell ref="AM82:AR82"/>
    <mergeCell ref="AM83:AR83"/>
    <mergeCell ref="AM84:AR84"/>
    <mergeCell ref="AM85:AR85"/>
    <mergeCell ref="AM86:AR86"/>
    <mergeCell ref="AM87:AR87"/>
    <mergeCell ref="AM88:AR88"/>
    <mergeCell ref="AM89:AR89"/>
    <mergeCell ref="AM90:AR90"/>
    <mergeCell ref="AM91:AR91"/>
    <mergeCell ref="AM92:AR92"/>
    <mergeCell ref="AM93:AR93"/>
    <mergeCell ref="AM94:AR94"/>
    <mergeCell ref="AM95:AR95"/>
    <mergeCell ref="AM96:AR96"/>
    <mergeCell ref="AM97:AR97"/>
    <mergeCell ref="AM98:AR98"/>
    <mergeCell ref="AM99:AR99"/>
    <mergeCell ref="AM100:AR100"/>
    <mergeCell ref="AM101:AR101"/>
    <mergeCell ref="AM102:AR102"/>
    <mergeCell ref="AM103:AR103"/>
    <mergeCell ref="AM104:AR104"/>
    <mergeCell ref="AM105:AR105"/>
    <mergeCell ref="AM106:AR106"/>
    <mergeCell ref="AM107:AR107"/>
    <mergeCell ref="AM108:AR108"/>
    <mergeCell ref="AM109:AR109"/>
    <mergeCell ref="AY103:BD103"/>
    <mergeCell ref="AS86:AX86"/>
    <mergeCell ref="AS87:AX87"/>
    <mergeCell ref="AS88:AX88"/>
    <mergeCell ref="AS89:AX89"/>
    <mergeCell ref="AS90:AX90"/>
    <mergeCell ref="AS91:AX91"/>
    <mergeCell ref="AS92:AX92"/>
    <mergeCell ref="AS93:AX93"/>
    <mergeCell ref="AS94:AX94"/>
    <mergeCell ref="AS95:AX95"/>
    <mergeCell ref="AS96:AX96"/>
    <mergeCell ref="AS97:AX97"/>
    <mergeCell ref="AS98:AX98"/>
    <mergeCell ref="AS99:AX99"/>
    <mergeCell ref="AS100:AX100"/>
    <mergeCell ref="AS101:AX101"/>
    <mergeCell ref="AS104:AX104"/>
    <mergeCell ref="AS105:AX105"/>
    <mergeCell ref="AS106:AX106"/>
    <mergeCell ref="AS107:AX107"/>
    <mergeCell ref="AS108:AX108"/>
    <mergeCell ref="AS109:AX109"/>
    <mergeCell ref="AY97:BD97"/>
    <mergeCell ref="AY98:BD98"/>
    <mergeCell ref="AY99:BD99"/>
    <mergeCell ref="AY100:BD100"/>
    <mergeCell ref="BK81:BP81"/>
    <mergeCell ref="AY81:BD81"/>
    <mergeCell ref="AY82:BD82"/>
    <mergeCell ref="AY83:BD83"/>
    <mergeCell ref="AY84:BD84"/>
    <mergeCell ref="AY85:BD85"/>
    <mergeCell ref="AY86:BD86"/>
    <mergeCell ref="AY87:BD87"/>
    <mergeCell ref="AY88:BD88"/>
    <mergeCell ref="AY89:BD89"/>
    <mergeCell ref="AY90:BD90"/>
    <mergeCell ref="AY91:BD91"/>
    <mergeCell ref="AY92:BD92"/>
    <mergeCell ref="AY93:BD93"/>
    <mergeCell ref="AY94:BD94"/>
    <mergeCell ref="AY95:BD95"/>
    <mergeCell ref="AY96:BD96"/>
    <mergeCell ref="BK91:BP91"/>
    <mergeCell ref="BK92:BP92"/>
    <mergeCell ref="BK93:BP93"/>
    <mergeCell ref="BK94:BP94"/>
    <mergeCell ref="BK95:BP95"/>
    <mergeCell ref="AS85:AX85"/>
    <mergeCell ref="AY105:BD105"/>
    <mergeCell ref="AY106:BD106"/>
    <mergeCell ref="AY107:BD107"/>
    <mergeCell ref="AY108:BD108"/>
    <mergeCell ref="BK99:BP99"/>
    <mergeCell ref="BK100:BP100"/>
    <mergeCell ref="BK101:BP101"/>
    <mergeCell ref="BK102:BP102"/>
    <mergeCell ref="BK103:BP103"/>
    <mergeCell ref="BK104:BP104"/>
    <mergeCell ref="BK105:BP105"/>
    <mergeCell ref="BK106:BP106"/>
    <mergeCell ref="BK107:BP107"/>
    <mergeCell ref="BK108:BP108"/>
    <mergeCell ref="BW108:CB108"/>
    <mergeCell ref="BQ106:BV106"/>
    <mergeCell ref="BQ107:BV107"/>
    <mergeCell ref="BQ108:BV108"/>
    <mergeCell ref="BQ102:BV102"/>
    <mergeCell ref="BQ103:BV103"/>
    <mergeCell ref="BQ104:BV104"/>
    <mergeCell ref="BQ105:BV105"/>
    <mergeCell ref="BW99:CB99"/>
    <mergeCell ref="BW100:CB100"/>
    <mergeCell ref="BW101:CB101"/>
    <mergeCell ref="BW102:CB102"/>
    <mergeCell ref="BW103:CB103"/>
    <mergeCell ref="BW104:CB104"/>
    <mergeCell ref="BW94:CB94"/>
    <mergeCell ref="BW95:CB95"/>
    <mergeCell ref="BW96:CB96"/>
    <mergeCell ref="BW97:CB97"/>
    <mergeCell ref="BW98:CB98"/>
    <mergeCell ref="AY109:BD109"/>
    <mergeCell ref="BE82:BJ82"/>
    <mergeCell ref="BE83:BJ83"/>
    <mergeCell ref="BE84:BJ84"/>
    <mergeCell ref="BE85:BJ85"/>
    <mergeCell ref="BE86:BJ86"/>
    <mergeCell ref="BE87:BJ87"/>
    <mergeCell ref="BE88:BJ88"/>
    <mergeCell ref="BE89:BJ89"/>
    <mergeCell ref="BE90:BJ90"/>
    <mergeCell ref="BE91:BJ91"/>
    <mergeCell ref="BE92:BJ92"/>
    <mergeCell ref="BE93:BJ93"/>
    <mergeCell ref="BE94:BJ94"/>
    <mergeCell ref="BE95:BJ95"/>
    <mergeCell ref="BE96:BJ96"/>
    <mergeCell ref="BE97:BJ97"/>
    <mergeCell ref="AY101:BD101"/>
    <mergeCell ref="AY102:BD102"/>
    <mergeCell ref="BW106:CB106"/>
    <mergeCell ref="BW107:CB107"/>
    <mergeCell ref="AY104:BD104"/>
    <mergeCell ref="BW105:CB105"/>
    <mergeCell ref="BK96:BP96"/>
    <mergeCell ref="BK97:BP97"/>
    <mergeCell ref="BK98:BP98"/>
    <mergeCell ref="BQ109:BV109"/>
    <mergeCell ref="BK109:BP109"/>
    <mergeCell ref="BQ82:BV82"/>
    <mergeCell ref="BQ83:BV83"/>
    <mergeCell ref="BQ84:BV84"/>
    <mergeCell ref="BE108:BJ108"/>
    <mergeCell ref="BE109:BJ109"/>
    <mergeCell ref="T81:Y81"/>
    <mergeCell ref="AA81:AF81"/>
    <mergeCell ref="AG81:AL81"/>
    <mergeCell ref="BE98:BJ98"/>
    <mergeCell ref="BE99:BJ99"/>
    <mergeCell ref="BE100:BJ100"/>
    <mergeCell ref="BE101:BJ101"/>
    <mergeCell ref="BE102:BJ102"/>
    <mergeCell ref="BE103:BJ103"/>
    <mergeCell ref="BE104:BJ104"/>
    <mergeCell ref="BE105:BJ105"/>
    <mergeCell ref="BE106:BJ106"/>
    <mergeCell ref="BE107:BJ107"/>
    <mergeCell ref="AG108:AL108"/>
    <mergeCell ref="AS102:AX102"/>
    <mergeCell ref="AS103:AX103"/>
    <mergeCell ref="BQ96:BV96"/>
    <mergeCell ref="BQ97:BV97"/>
    <mergeCell ref="BQ98:BV98"/>
    <mergeCell ref="BQ99:BV99"/>
    <mergeCell ref="BQ100:BV100"/>
    <mergeCell ref="BQ101:BV101"/>
    <mergeCell ref="BK84:BP84"/>
    <mergeCell ref="BK85:BP85"/>
    <mergeCell ref="BK86:BP86"/>
    <mergeCell ref="BK87:BP87"/>
    <mergeCell ref="BK88:BP88"/>
    <mergeCell ref="BK89:BP89"/>
    <mergeCell ref="BK90:BP90"/>
    <mergeCell ref="A46:K46"/>
    <mergeCell ref="L46:O46"/>
    <mergeCell ref="P46:S46"/>
    <mergeCell ref="A47:K47"/>
    <mergeCell ref="L47:O47"/>
    <mergeCell ref="P47:S47"/>
    <mergeCell ref="T46:X46"/>
    <mergeCell ref="T47:X47"/>
    <mergeCell ref="A49:AC49"/>
    <mergeCell ref="AD49:AV49"/>
    <mergeCell ref="AW49:CE49"/>
    <mergeCell ref="AD46:AN46"/>
    <mergeCell ref="AO46:AR46"/>
    <mergeCell ref="AS46:AV46"/>
    <mergeCell ref="AW46:BA46"/>
    <mergeCell ref="AD47:AN47"/>
    <mergeCell ref="AO47:AR47"/>
    <mergeCell ref="AS47:AV47"/>
    <mergeCell ref="AW47:BA47"/>
    <mergeCell ref="BW82:CB82"/>
    <mergeCell ref="BW83:CB83"/>
    <mergeCell ref="BW84:CB84"/>
    <mergeCell ref="BW85:CB85"/>
    <mergeCell ref="BW86:CB86"/>
    <mergeCell ref="BW87:CB87"/>
    <mergeCell ref="BW88:CB88"/>
    <mergeCell ref="BW89:CB89"/>
    <mergeCell ref="BW90:CB90"/>
    <mergeCell ref="BW91:CB91"/>
    <mergeCell ref="BW92:CB92"/>
    <mergeCell ref="BW93:CB93"/>
    <mergeCell ref="BU123:CD123"/>
    <mergeCell ref="BU124:CD124"/>
    <mergeCell ref="BQ81:BV81"/>
    <mergeCell ref="BQ85:BV85"/>
    <mergeCell ref="BQ86:BV86"/>
    <mergeCell ref="BQ87:BV87"/>
    <mergeCell ref="BQ88:BV88"/>
    <mergeCell ref="BQ89:BV89"/>
    <mergeCell ref="BQ90:BV90"/>
    <mergeCell ref="BQ91:BV91"/>
    <mergeCell ref="BQ92:BV92"/>
    <mergeCell ref="BQ93:BV93"/>
    <mergeCell ref="BQ94:BV94"/>
    <mergeCell ref="BQ95:BV95"/>
    <mergeCell ref="BP113:BY113"/>
    <mergeCell ref="BP114:BY114"/>
    <mergeCell ref="BL111:BY111"/>
    <mergeCell ref="BW109:CB109"/>
    <mergeCell ref="BK82:BP82"/>
    <mergeCell ref="BK83:BP83"/>
    <mergeCell ref="BZ112:CI112"/>
    <mergeCell ref="BZ113:CI113"/>
    <mergeCell ref="BZ114:CI114"/>
    <mergeCell ref="BZ115:CI115"/>
    <mergeCell ref="BZ116:CI116"/>
    <mergeCell ref="BB111:BK111"/>
    <mergeCell ref="BZ111:CI111"/>
    <mergeCell ref="AR112:BA112"/>
    <mergeCell ref="AR113:BA113"/>
    <mergeCell ref="AR114:BA114"/>
    <mergeCell ref="AR115:BA115"/>
    <mergeCell ref="AR116:BA116"/>
    <mergeCell ref="A111:AQ111"/>
    <mergeCell ref="AR111:BA111"/>
    <mergeCell ref="BB112:BK112"/>
    <mergeCell ref="BB113:BK113"/>
    <mergeCell ref="BB114:BK114"/>
    <mergeCell ref="BB115:BK115"/>
    <mergeCell ref="BB116:BK116"/>
    <mergeCell ref="A112:AQ112"/>
    <mergeCell ref="BP121:BT121"/>
    <mergeCell ref="BP122:BT122"/>
    <mergeCell ref="BP123:BT123"/>
    <mergeCell ref="AN137:AS137"/>
    <mergeCell ref="BL112:BO112"/>
    <mergeCell ref="BL113:BO113"/>
    <mergeCell ref="BL114:BO114"/>
    <mergeCell ref="BL115:BO115"/>
    <mergeCell ref="BL116:BO116"/>
    <mergeCell ref="A113:AQ113"/>
    <mergeCell ref="A114:AQ114"/>
    <mergeCell ref="A115:AQ115"/>
    <mergeCell ref="A116:AQ116"/>
    <mergeCell ref="AI119:AM119"/>
    <mergeCell ref="AI120:AM120"/>
    <mergeCell ref="AI121:AM121"/>
    <mergeCell ref="AI122:AM122"/>
    <mergeCell ref="AI123:AM123"/>
    <mergeCell ref="AI124:AM124"/>
    <mergeCell ref="AI126:AM126"/>
    <mergeCell ref="AT119:AX119"/>
    <mergeCell ref="A119:AB119"/>
    <mergeCell ref="AY127:BD127"/>
    <mergeCell ref="AY128:BD128"/>
    <mergeCell ref="BJ127:BO127"/>
    <mergeCell ref="BJ128:BO128"/>
    <mergeCell ref="BJ129:BO129"/>
    <mergeCell ref="AN135:AS135"/>
    <mergeCell ref="AN136:AS136"/>
    <mergeCell ref="AT137:AX137"/>
    <mergeCell ref="A120:AB120"/>
    <mergeCell ref="A121:AB121"/>
    <mergeCell ref="A122:AB122"/>
    <mergeCell ref="A123:AB123"/>
    <mergeCell ref="A124:AB124"/>
    <mergeCell ref="A126:AB126"/>
    <mergeCell ref="AT128:AX128"/>
    <mergeCell ref="AT129:AX129"/>
    <mergeCell ref="BJ119:BO119"/>
    <mergeCell ref="BJ120:BO120"/>
    <mergeCell ref="BJ121:BO121"/>
    <mergeCell ref="BJ122:BO122"/>
    <mergeCell ref="BJ123:BO123"/>
    <mergeCell ref="BJ124:BO124"/>
    <mergeCell ref="AC126:AH126"/>
    <mergeCell ref="AN119:AS119"/>
    <mergeCell ref="AN120:AS120"/>
    <mergeCell ref="AN121:AS121"/>
    <mergeCell ref="AC121:AH121"/>
    <mergeCell ref="AC122:AH122"/>
    <mergeCell ref="AC123:AH123"/>
    <mergeCell ref="AC124:AH124"/>
    <mergeCell ref="AT123:AX123"/>
    <mergeCell ref="AT124:AX124"/>
    <mergeCell ref="AT127:AX127"/>
    <mergeCell ref="AN122:AS122"/>
    <mergeCell ref="AN123:AS123"/>
    <mergeCell ref="AN124:AS124"/>
    <mergeCell ref="AC119:AH119"/>
    <mergeCell ref="AC120:AH120"/>
    <mergeCell ref="BE124:BI124"/>
    <mergeCell ref="AT120:AX120"/>
    <mergeCell ref="AT121:AX121"/>
    <mergeCell ref="AT122:AX122"/>
    <mergeCell ref="AY119:BD119"/>
    <mergeCell ref="AY120:BD120"/>
    <mergeCell ref="AY121:BD121"/>
    <mergeCell ref="AY122:BD122"/>
    <mergeCell ref="AY123:BD123"/>
    <mergeCell ref="AY124:BD124"/>
    <mergeCell ref="BJ137:BO137"/>
    <mergeCell ref="AN126:AX126"/>
    <mergeCell ref="AY126:BI126"/>
    <mergeCell ref="BJ126:BT126"/>
    <mergeCell ref="BU126:CE126"/>
    <mergeCell ref="AN127:AS127"/>
    <mergeCell ref="AN128:AS128"/>
    <mergeCell ref="AN129:AS129"/>
    <mergeCell ref="AN130:AS130"/>
    <mergeCell ref="AN131:AS131"/>
    <mergeCell ref="AN132:AS132"/>
    <mergeCell ref="AN133:AS133"/>
    <mergeCell ref="AN134:AS134"/>
    <mergeCell ref="BU127:BZ127"/>
    <mergeCell ref="BU128:BZ128"/>
    <mergeCell ref="BU129:BZ129"/>
    <mergeCell ref="CA127:CE127"/>
    <mergeCell ref="CA128:CE128"/>
    <mergeCell ref="CA129:CE129"/>
    <mergeCell ref="BP127:BT127"/>
    <mergeCell ref="AT134:AX134"/>
    <mergeCell ref="BP119:BT119"/>
    <mergeCell ref="BP120:BT120"/>
    <mergeCell ref="BP130:BT130"/>
    <mergeCell ref="BP131:BT131"/>
    <mergeCell ref="BP132:BT132"/>
    <mergeCell ref="BE128:BI128"/>
    <mergeCell ref="CA137:CE137"/>
    <mergeCell ref="BP128:BT128"/>
    <mergeCell ref="BP129:BT129"/>
    <mergeCell ref="AN143:AP143"/>
    <mergeCell ref="AN144:AP144"/>
    <mergeCell ref="J143:L143"/>
    <mergeCell ref="M143:O143"/>
    <mergeCell ref="P143:R143"/>
    <mergeCell ref="S143:U143"/>
    <mergeCell ref="V143:X143"/>
    <mergeCell ref="Y143:AA143"/>
    <mergeCell ref="AB143:AD143"/>
    <mergeCell ref="AE143:AG143"/>
    <mergeCell ref="AH143:AJ143"/>
    <mergeCell ref="AK143:AM143"/>
    <mergeCell ref="J144:L144"/>
    <mergeCell ref="BE137:BI137"/>
    <mergeCell ref="AY137:BD137"/>
    <mergeCell ref="BE143:BI143"/>
    <mergeCell ref="BJ143:BN143"/>
    <mergeCell ref="BO143:BS143"/>
    <mergeCell ref="BT143:BX143"/>
    <mergeCell ref="BY143:CC143"/>
    <mergeCell ref="AT144:AV144"/>
    <mergeCell ref="A141:CV141"/>
    <mergeCell ref="AQ143:AS143"/>
    <mergeCell ref="AT135:AX135"/>
    <mergeCell ref="AT136:AX136"/>
    <mergeCell ref="BJ133:BO133"/>
    <mergeCell ref="CI143:CK143"/>
    <mergeCell ref="CI144:CK144"/>
    <mergeCell ref="CL142:DC142"/>
    <mergeCell ref="DA143:DC143"/>
    <mergeCell ref="DA144:DC144"/>
    <mergeCell ref="A142:D142"/>
    <mergeCell ref="A143:D143"/>
    <mergeCell ref="E142:I142"/>
    <mergeCell ref="E143:I143"/>
    <mergeCell ref="A144:I144"/>
    <mergeCell ref="CL143:CP143"/>
    <mergeCell ref="CQ143:CU143"/>
    <mergeCell ref="CV143:CZ143"/>
    <mergeCell ref="CL144:CP144"/>
    <mergeCell ref="CQ144:CU144"/>
    <mergeCell ref="CV144:CZ144"/>
    <mergeCell ref="AH144:AJ144"/>
    <mergeCell ref="AE144:AG144"/>
    <mergeCell ref="AB144:AD144"/>
    <mergeCell ref="Y144:AA144"/>
    <mergeCell ref="V144:X144"/>
    <mergeCell ref="P144:R144"/>
    <mergeCell ref="M144:O144"/>
    <mergeCell ref="AZ142:CK142"/>
    <mergeCell ref="S144:U144"/>
    <mergeCell ref="AQ142:AY142"/>
    <mergeCell ref="AW143:AY143"/>
    <mergeCell ref="BP124:BT124"/>
    <mergeCell ref="BP137:BT137"/>
    <mergeCell ref="BU137:BZ137"/>
    <mergeCell ref="BU119:CD119"/>
    <mergeCell ref="BU120:CD120"/>
    <mergeCell ref="BU121:CD121"/>
    <mergeCell ref="BU122:CD122"/>
    <mergeCell ref="BE119:BI119"/>
    <mergeCell ref="BE120:BI120"/>
    <mergeCell ref="BE121:BI121"/>
    <mergeCell ref="BE122:BI122"/>
    <mergeCell ref="BE123:BI123"/>
    <mergeCell ref="BJ130:BO130"/>
    <mergeCell ref="BJ131:BO131"/>
    <mergeCell ref="BJ132:BO132"/>
    <mergeCell ref="AQ144:AS144"/>
    <mergeCell ref="AK144:AM144"/>
    <mergeCell ref="AT130:AX130"/>
    <mergeCell ref="AT131:AX131"/>
    <mergeCell ref="AT132:AX132"/>
    <mergeCell ref="AT133:AX133"/>
    <mergeCell ref="AZ144:BD144"/>
    <mergeCell ref="BE144:BI144"/>
    <mergeCell ref="AZ143:BD143"/>
    <mergeCell ref="CD144:CH144"/>
    <mergeCell ref="BY144:CC144"/>
    <mergeCell ref="BT144:BX144"/>
    <mergeCell ref="BO144:BS144"/>
    <mergeCell ref="BJ144:BN144"/>
    <mergeCell ref="CD143:CH143"/>
    <mergeCell ref="BP133:BT133"/>
    <mergeCell ref="BE127:BI1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5C048-444F-487D-89CD-F1B1F7CBC206}">
  <dimension ref="A1:Y105"/>
  <sheetViews>
    <sheetView workbookViewId="0">
      <selection activeCell="I4" sqref="I4:I6"/>
    </sheetView>
  </sheetViews>
  <sheetFormatPr defaultRowHeight="15" x14ac:dyDescent="0.25"/>
  <sheetData>
    <row r="1" spans="1:25" x14ac:dyDescent="0.25">
      <c r="A1" t="s">
        <v>9</v>
      </c>
    </row>
    <row r="2" spans="1:25" x14ac:dyDescent="0.25">
      <c r="R2" s="4"/>
      <c r="S2" s="4"/>
      <c r="T2" s="4" t="s">
        <v>272</v>
      </c>
      <c r="U2" s="4"/>
      <c r="V2" s="4"/>
      <c r="W2" s="4"/>
      <c r="X2" s="4"/>
      <c r="Y2" s="4"/>
    </row>
    <row r="3" spans="1:25" x14ac:dyDescent="0.25">
      <c r="A3" s="4" t="s">
        <v>21</v>
      </c>
      <c r="C3" s="4" t="s">
        <v>22</v>
      </c>
      <c r="E3" s="4" t="s">
        <v>33</v>
      </c>
      <c r="I3" s="4" t="s">
        <v>34</v>
      </c>
      <c r="L3" s="4" t="s">
        <v>35</v>
      </c>
      <c r="P3" s="4" t="s">
        <v>95</v>
      </c>
      <c r="R3" s="4" t="s">
        <v>145</v>
      </c>
      <c r="T3" s="4" t="s">
        <v>149</v>
      </c>
      <c r="V3" s="4" t="s">
        <v>151</v>
      </c>
      <c r="X3" s="4" t="s">
        <v>91</v>
      </c>
      <c r="Y3" s="4" t="s">
        <v>92</v>
      </c>
    </row>
    <row r="4" spans="1:25" x14ac:dyDescent="0.25">
      <c r="A4" s="3" t="s">
        <v>7</v>
      </c>
      <c r="C4" s="3">
        <v>2017</v>
      </c>
      <c r="E4" s="3" t="s">
        <v>25</v>
      </c>
      <c r="I4" s="3" t="s">
        <v>29</v>
      </c>
      <c r="L4" s="3" t="s">
        <v>31</v>
      </c>
      <c r="P4" s="3" t="s">
        <v>93</v>
      </c>
      <c r="Q4" s="10">
        <v>1</v>
      </c>
      <c r="R4" s="3" t="s">
        <v>40</v>
      </c>
      <c r="S4" s="10">
        <v>22</v>
      </c>
      <c r="T4" s="3" t="s">
        <v>36</v>
      </c>
      <c r="U4" s="10">
        <v>45</v>
      </c>
      <c r="V4" s="3" t="s">
        <v>45</v>
      </c>
      <c r="X4" s="5" t="s">
        <v>36</v>
      </c>
      <c r="Y4" s="7">
        <v>4</v>
      </c>
    </row>
    <row r="5" spans="1:25" x14ac:dyDescent="0.25">
      <c r="A5" s="3" t="s">
        <v>10</v>
      </c>
      <c r="C5" s="3">
        <v>2018</v>
      </c>
      <c r="E5" s="3" t="s">
        <v>23</v>
      </c>
      <c r="I5" s="3" t="s">
        <v>30</v>
      </c>
      <c r="L5" s="3" t="s">
        <v>32</v>
      </c>
      <c r="P5" s="3" t="s">
        <v>94</v>
      </c>
      <c r="Q5" s="10">
        <v>2</v>
      </c>
      <c r="R5" s="3" t="s">
        <v>50</v>
      </c>
      <c r="S5" s="10">
        <v>23</v>
      </c>
      <c r="T5" s="3" t="s">
        <v>39</v>
      </c>
      <c r="U5" s="10">
        <v>46</v>
      </c>
      <c r="V5" s="3" t="s">
        <v>48</v>
      </c>
      <c r="X5" s="5" t="s">
        <v>37</v>
      </c>
      <c r="Y5" s="7">
        <v>2</v>
      </c>
    </row>
    <row r="6" spans="1:25" x14ac:dyDescent="0.25">
      <c r="A6" s="3" t="s">
        <v>11</v>
      </c>
      <c r="C6" s="3">
        <v>2019</v>
      </c>
      <c r="E6" s="3" t="s">
        <v>27</v>
      </c>
      <c r="I6" s="3" t="s">
        <v>28</v>
      </c>
      <c r="Q6" s="10">
        <v>3</v>
      </c>
      <c r="R6" s="3" t="s">
        <v>60</v>
      </c>
      <c r="S6" s="10">
        <v>24</v>
      </c>
      <c r="T6" s="3" t="s">
        <v>44</v>
      </c>
      <c r="U6" s="10">
        <v>47</v>
      </c>
      <c r="V6" s="3" t="s">
        <v>62</v>
      </c>
      <c r="X6" s="5" t="s">
        <v>38</v>
      </c>
      <c r="Y6" s="7">
        <v>5</v>
      </c>
    </row>
    <row r="7" spans="1:25" x14ac:dyDescent="0.25">
      <c r="A7" s="3" t="s">
        <v>12</v>
      </c>
      <c r="C7" s="3">
        <v>2020</v>
      </c>
      <c r="E7" s="3" t="s">
        <v>271</v>
      </c>
      <c r="L7" s="3" t="s">
        <v>31</v>
      </c>
      <c r="Q7" s="10">
        <v>4</v>
      </c>
      <c r="R7" s="3" t="s">
        <v>70</v>
      </c>
      <c r="S7" s="10">
        <v>25</v>
      </c>
      <c r="T7" s="3" t="s">
        <v>46</v>
      </c>
      <c r="U7" s="10">
        <v>48</v>
      </c>
      <c r="V7" s="3" t="s">
        <v>63</v>
      </c>
      <c r="X7" s="5" t="s">
        <v>39</v>
      </c>
      <c r="Y7" s="7">
        <v>4</v>
      </c>
    </row>
    <row r="8" spans="1:25" x14ac:dyDescent="0.25">
      <c r="A8" s="3" t="s">
        <v>13</v>
      </c>
      <c r="C8" s="3">
        <v>2021</v>
      </c>
      <c r="E8" s="3" t="s">
        <v>280</v>
      </c>
      <c r="I8" t="s">
        <v>287</v>
      </c>
      <c r="L8" s="3" t="s">
        <v>32</v>
      </c>
      <c r="Q8" s="10">
        <v>5</v>
      </c>
      <c r="R8" s="3" t="s">
        <v>87</v>
      </c>
      <c r="S8" s="10">
        <v>26</v>
      </c>
      <c r="T8" s="3" t="s">
        <v>52</v>
      </c>
      <c r="U8" s="10">
        <v>49</v>
      </c>
      <c r="V8" s="3" t="s">
        <v>67</v>
      </c>
      <c r="X8" s="6" t="s">
        <v>40</v>
      </c>
      <c r="Y8" s="7">
        <v>1</v>
      </c>
    </row>
    <row r="9" spans="1:25" x14ac:dyDescent="0.25">
      <c r="A9" s="3" t="s">
        <v>14</v>
      </c>
      <c r="C9" s="3">
        <v>2022</v>
      </c>
      <c r="E9" s="3" t="s">
        <v>26</v>
      </c>
      <c r="I9" t="s">
        <v>139</v>
      </c>
      <c r="L9" s="3" t="s">
        <v>137</v>
      </c>
      <c r="Q9" s="10"/>
      <c r="S9" s="10">
        <v>27</v>
      </c>
      <c r="T9" s="3" t="s">
        <v>56</v>
      </c>
      <c r="U9" s="10">
        <v>50</v>
      </c>
      <c r="V9" s="3" t="s">
        <v>69</v>
      </c>
      <c r="X9" s="5" t="s">
        <v>41</v>
      </c>
      <c r="Y9" s="7">
        <v>5</v>
      </c>
    </row>
    <row r="10" spans="1:25" x14ac:dyDescent="0.25">
      <c r="A10" s="3" t="s">
        <v>15</v>
      </c>
      <c r="C10" s="3">
        <v>2023</v>
      </c>
      <c r="E10" s="3" t="s">
        <v>28</v>
      </c>
      <c r="I10" t="s">
        <v>140</v>
      </c>
      <c r="L10" s="3" t="s">
        <v>138</v>
      </c>
      <c r="Q10" s="10"/>
      <c r="S10" s="10">
        <v>28</v>
      </c>
      <c r="T10" s="3" t="s">
        <v>59</v>
      </c>
      <c r="U10" s="10">
        <v>51</v>
      </c>
      <c r="V10" s="3" t="s">
        <v>73</v>
      </c>
      <c r="X10" s="5" t="s">
        <v>42</v>
      </c>
      <c r="Y10" s="7">
        <v>3</v>
      </c>
    </row>
    <row r="11" spans="1:25" x14ac:dyDescent="0.25">
      <c r="A11" s="3" t="s">
        <v>16</v>
      </c>
      <c r="C11" s="3">
        <v>2024</v>
      </c>
      <c r="I11" t="s">
        <v>141</v>
      </c>
      <c r="Q11" s="10"/>
      <c r="R11" s="8" t="s">
        <v>146</v>
      </c>
      <c r="S11" s="10">
        <v>29</v>
      </c>
      <c r="T11" s="3" t="s">
        <v>66</v>
      </c>
      <c r="U11" s="10">
        <v>52</v>
      </c>
      <c r="V11" s="3" t="s">
        <v>76</v>
      </c>
      <c r="X11" s="5" t="s">
        <v>43</v>
      </c>
      <c r="Y11" s="7">
        <v>5</v>
      </c>
    </row>
    <row r="12" spans="1:25" x14ac:dyDescent="0.25">
      <c r="A12" s="3" t="s">
        <v>17</v>
      </c>
      <c r="C12" s="3">
        <v>2025</v>
      </c>
      <c r="E12" s="13" t="s">
        <v>270</v>
      </c>
      <c r="F12" s="14"/>
      <c r="G12" s="14"/>
      <c r="I12" t="s">
        <v>142</v>
      </c>
      <c r="Q12" s="10">
        <v>6</v>
      </c>
      <c r="R12" s="3" t="s">
        <v>37</v>
      </c>
      <c r="S12" s="10">
        <v>30</v>
      </c>
      <c r="T12" s="3" t="s">
        <v>74</v>
      </c>
      <c r="U12" s="10">
        <v>53</v>
      </c>
      <c r="V12" s="3" t="s">
        <v>80</v>
      </c>
      <c r="X12" s="5" t="s">
        <v>44</v>
      </c>
      <c r="Y12" s="7">
        <v>4</v>
      </c>
    </row>
    <row r="13" spans="1:25" x14ac:dyDescent="0.25">
      <c r="A13" s="3" t="s">
        <v>18</v>
      </c>
      <c r="E13" s="13" t="s">
        <v>24</v>
      </c>
      <c r="F13" s="14"/>
      <c r="G13" s="14"/>
      <c r="I13" t="s">
        <v>143</v>
      </c>
      <c r="Q13" s="10">
        <v>7</v>
      </c>
      <c r="R13" s="3" t="s">
        <v>47</v>
      </c>
      <c r="S13" s="10">
        <v>31</v>
      </c>
      <c r="T13" s="3" t="s">
        <v>77</v>
      </c>
      <c r="U13" s="10">
        <v>54</v>
      </c>
      <c r="V13" s="3" t="s">
        <v>86</v>
      </c>
      <c r="X13" s="5" t="s">
        <v>45</v>
      </c>
      <c r="Y13" s="7">
        <v>6</v>
      </c>
    </row>
    <row r="14" spans="1:25" x14ac:dyDescent="0.25">
      <c r="A14" s="3" t="s">
        <v>19</v>
      </c>
      <c r="E14" s="13" t="s">
        <v>283</v>
      </c>
      <c r="F14" s="14"/>
      <c r="G14" s="14"/>
      <c r="I14" t="s">
        <v>144</v>
      </c>
      <c r="M14" s="4" t="s">
        <v>273</v>
      </c>
      <c r="N14" s="4"/>
      <c r="Q14" s="10">
        <v>8</v>
      </c>
      <c r="R14" s="3" t="s">
        <v>49</v>
      </c>
      <c r="S14" s="10">
        <v>32</v>
      </c>
      <c r="T14" s="3" t="s">
        <v>81</v>
      </c>
      <c r="U14" s="10">
        <v>55</v>
      </c>
      <c r="V14" s="3" t="s">
        <v>90</v>
      </c>
      <c r="X14" s="5" t="s">
        <v>46</v>
      </c>
      <c r="Y14" s="7">
        <v>4</v>
      </c>
    </row>
    <row r="15" spans="1:25" x14ac:dyDescent="0.25">
      <c r="A15" s="3" t="s">
        <v>20</v>
      </c>
      <c r="E15" s="13" t="s">
        <v>284</v>
      </c>
      <c r="F15" s="14"/>
      <c r="G15" s="14"/>
      <c r="M15" t="s">
        <v>93</v>
      </c>
      <c r="Q15" s="10">
        <v>9</v>
      </c>
      <c r="R15" s="3" t="s">
        <v>51</v>
      </c>
      <c r="S15" s="10">
        <v>33</v>
      </c>
      <c r="T15" s="3" t="s">
        <v>82</v>
      </c>
      <c r="X15" s="5" t="s">
        <v>47</v>
      </c>
      <c r="Y15" s="7">
        <v>2</v>
      </c>
    </row>
    <row r="16" spans="1:25" x14ac:dyDescent="0.25">
      <c r="E16" s="13" t="s">
        <v>285</v>
      </c>
      <c r="F16" s="14"/>
      <c r="G16" s="14"/>
      <c r="M16" t="s">
        <v>94</v>
      </c>
      <c r="Q16" s="10">
        <v>10</v>
      </c>
      <c r="R16" s="3" t="s">
        <v>54</v>
      </c>
      <c r="S16" s="10">
        <v>34</v>
      </c>
      <c r="T16" s="3" t="s">
        <v>84</v>
      </c>
      <c r="X16" s="5" t="s">
        <v>48</v>
      </c>
      <c r="Y16" s="7">
        <v>6</v>
      </c>
    </row>
    <row r="17" spans="1:25" x14ac:dyDescent="0.25">
      <c r="E17" s="13" t="s">
        <v>286</v>
      </c>
      <c r="F17" s="14"/>
      <c r="G17" s="14"/>
      <c r="I17" s="4" t="s">
        <v>154</v>
      </c>
      <c r="J17" s="4"/>
      <c r="K17" s="4"/>
      <c r="Q17" s="10">
        <v>11</v>
      </c>
      <c r="R17" s="3" t="s">
        <v>64</v>
      </c>
      <c r="S17" s="10"/>
      <c r="U17" s="12">
        <v>56</v>
      </c>
      <c r="V17" s="13" t="s">
        <v>152</v>
      </c>
      <c r="X17" s="5" t="s">
        <v>49</v>
      </c>
      <c r="Y17" s="7">
        <v>2</v>
      </c>
    </row>
    <row r="18" spans="1:25" ht="15.75" x14ac:dyDescent="0.25">
      <c r="A18" s="11" t="s">
        <v>235</v>
      </c>
      <c r="B18" s="4"/>
      <c r="C18" s="4"/>
      <c r="E18" s="13"/>
      <c r="F18" s="14"/>
      <c r="G18" s="14"/>
      <c r="I18" t="s">
        <v>155</v>
      </c>
      <c r="Q18" s="10">
        <v>12</v>
      </c>
      <c r="R18" s="3" t="s">
        <v>68</v>
      </c>
      <c r="S18" s="10"/>
      <c r="X18" s="6" t="s">
        <v>50</v>
      </c>
      <c r="Y18" s="7">
        <v>1</v>
      </c>
    </row>
    <row r="19" spans="1:25" x14ac:dyDescent="0.25">
      <c r="A19" t="s">
        <v>236</v>
      </c>
      <c r="E19" s="3"/>
      <c r="I19" t="s">
        <v>156</v>
      </c>
      <c r="Q19" s="10">
        <v>13</v>
      </c>
      <c r="R19" s="3" t="s">
        <v>71</v>
      </c>
      <c r="S19" s="10"/>
      <c r="T19" s="4" t="s">
        <v>150</v>
      </c>
      <c r="X19" s="5" t="s">
        <v>51</v>
      </c>
      <c r="Y19" s="7">
        <v>2</v>
      </c>
    </row>
    <row r="20" spans="1:25" x14ac:dyDescent="0.25">
      <c r="A20" t="s">
        <v>274</v>
      </c>
      <c r="E20" s="3"/>
      <c r="I20" t="s">
        <v>157</v>
      </c>
      <c r="Q20" s="10"/>
      <c r="S20" s="10">
        <v>35</v>
      </c>
      <c r="T20" s="3" t="s">
        <v>38</v>
      </c>
      <c r="X20" s="5" t="s">
        <v>52</v>
      </c>
      <c r="Y20" s="7">
        <v>4</v>
      </c>
    </row>
    <row r="21" spans="1:25" x14ac:dyDescent="0.25">
      <c r="A21" t="s">
        <v>237</v>
      </c>
      <c r="I21" t="s">
        <v>158</v>
      </c>
      <c r="Q21" s="10"/>
      <c r="S21" s="10">
        <v>36</v>
      </c>
      <c r="T21" s="3" t="s">
        <v>41</v>
      </c>
      <c r="X21" s="5" t="s">
        <v>53</v>
      </c>
      <c r="Y21" s="7">
        <v>3</v>
      </c>
    </row>
    <row r="22" spans="1:25" x14ac:dyDescent="0.25">
      <c r="E22" s="3"/>
      <c r="Q22" s="10"/>
      <c r="R22" s="8" t="s">
        <v>147</v>
      </c>
      <c r="S22" s="10">
        <v>37</v>
      </c>
      <c r="T22" s="3" t="s">
        <v>43</v>
      </c>
      <c r="X22" s="5" t="s">
        <v>54</v>
      </c>
      <c r="Y22" s="7">
        <v>2</v>
      </c>
    </row>
    <row r="23" spans="1:25" x14ac:dyDescent="0.25">
      <c r="E23" s="3"/>
      <c r="Q23" s="10">
        <v>14</v>
      </c>
      <c r="R23" s="3" t="s">
        <v>42</v>
      </c>
      <c r="S23" s="10">
        <v>38</v>
      </c>
      <c r="T23" s="3" t="s">
        <v>55</v>
      </c>
      <c r="X23" s="5" t="s">
        <v>55</v>
      </c>
      <c r="Y23" s="7">
        <v>5</v>
      </c>
    </row>
    <row r="24" spans="1:25" x14ac:dyDescent="0.25">
      <c r="E24" s="3"/>
      <c r="Q24" s="10">
        <v>15</v>
      </c>
      <c r="R24" s="3" t="s">
        <v>53</v>
      </c>
      <c r="S24" s="10">
        <v>39</v>
      </c>
      <c r="T24" s="3" t="s">
        <v>57</v>
      </c>
      <c r="X24" s="5" t="s">
        <v>56</v>
      </c>
      <c r="Y24" s="7">
        <v>4</v>
      </c>
    </row>
    <row r="25" spans="1:25" x14ac:dyDescent="0.25">
      <c r="Q25" s="10">
        <v>16</v>
      </c>
      <c r="R25" s="3" t="s">
        <v>72</v>
      </c>
      <c r="S25" s="10">
        <v>40</v>
      </c>
      <c r="T25" s="3" t="s">
        <v>58</v>
      </c>
      <c r="X25" s="5" t="s">
        <v>57</v>
      </c>
      <c r="Y25" s="7">
        <v>5</v>
      </c>
    </row>
    <row r="26" spans="1:25" x14ac:dyDescent="0.25">
      <c r="A26" s="4" t="s">
        <v>98</v>
      </c>
      <c r="B26" s="4"/>
      <c r="C26" s="4"/>
      <c r="D26" s="4"/>
      <c r="G26" s="4" t="s">
        <v>159</v>
      </c>
      <c r="H26" s="4"/>
      <c r="I26" s="4"/>
      <c r="M26" s="4" t="s">
        <v>229</v>
      </c>
      <c r="N26" s="4"/>
      <c r="O26" s="4"/>
      <c r="Q26" s="10">
        <v>17</v>
      </c>
      <c r="R26" s="3" t="s">
        <v>148</v>
      </c>
      <c r="S26" s="10">
        <v>41</v>
      </c>
      <c r="T26" s="3" t="s">
        <v>61</v>
      </c>
      <c r="X26" s="5" t="s">
        <v>58</v>
      </c>
      <c r="Y26" s="7">
        <v>5</v>
      </c>
    </row>
    <row r="27" spans="1:25" x14ac:dyDescent="0.25">
      <c r="A27" t="s">
        <v>99</v>
      </c>
      <c r="G27" t="s">
        <v>97</v>
      </c>
      <c r="M27" t="s">
        <v>230</v>
      </c>
      <c r="Q27" s="10">
        <v>18</v>
      </c>
      <c r="R27" s="3" t="s">
        <v>79</v>
      </c>
      <c r="S27" s="10">
        <v>42</v>
      </c>
      <c r="T27" s="3" t="s">
        <v>65</v>
      </c>
      <c r="X27" s="5" t="s">
        <v>59</v>
      </c>
      <c r="Y27" s="7">
        <v>4</v>
      </c>
    </row>
    <row r="28" spans="1:25" x14ac:dyDescent="0.25">
      <c r="A28" t="s">
        <v>100</v>
      </c>
      <c r="G28" t="s">
        <v>160</v>
      </c>
      <c r="M28" t="s">
        <v>231</v>
      </c>
      <c r="Q28" s="10">
        <v>19</v>
      </c>
      <c r="R28" s="3" t="s">
        <v>83</v>
      </c>
      <c r="S28" s="10">
        <v>43</v>
      </c>
      <c r="T28" s="3" t="s">
        <v>75</v>
      </c>
      <c r="X28" s="6" t="s">
        <v>60</v>
      </c>
      <c r="Y28" s="7">
        <v>1</v>
      </c>
    </row>
    <row r="29" spans="1:25" x14ac:dyDescent="0.25">
      <c r="A29" t="s">
        <v>101</v>
      </c>
      <c r="G29" t="s">
        <v>161</v>
      </c>
      <c r="M29" t="s">
        <v>232</v>
      </c>
      <c r="Q29" s="10">
        <v>20</v>
      </c>
      <c r="R29" s="3" t="s">
        <v>88</v>
      </c>
      <c r="S29" s="10">
        <v>44</v>
      </c>
      <c r="T29" s="3" t="s">
        <v>85</v>
      </c>
      <c r="X29" s="5" t="s">
        <v>61</v>
      </c>
      <c r="Y29" s="7">
        <v>5</v>
      </c>
    </row>
    <row r="30" spans="1:25" x14ac:dyDescent="0.25">
      <c r="A30" t="s">
        <v>111</v>
      </c>
      <c r="G30" t="s">
        <v>162</v>
      </c>
      <c r="M30" t="s">
        <v>233</v>
      </c>
      <c r="Q30" s="10">
        <v>21</v>
      </c>
      <c r="R30" s="3" t="s">
        <v>89</v>
      </c>
      <c r="X30" s="5" t="s">
        <v>62</v>
      </c>
      <c r="Y30" s="7">
        <v>6</v>
      </c>
    </row>
    <row r="31" spans="1:25" x14ac:dyDescent="0.25">
      <c r="A31" t="s">
        <v>112</v>
      </c>
      <c r="G31" t="s">
        <v>163</v>
      </c>
      <c r="M31" t="s">
        <v>234</v>
      </c>
      <c r="X31" s="5" t="s">
        <v>63</v>
      </c>
      <c r="Y31" s="7">
        <v>6</v>
      </c>
    </row>
    <row r="32" spans="1:25" x14ac:dyDescent="0.25">
      <c r="A32" t="s">
        <v>102</v>
      </c>
      <c r="G32" t="s">
        <v>164</v>
      </c>
      <c r="X32" s="5" t="s">
        <v>64</v>
      </c>
      <c r="Y32" s="7">
        <v>2</v>
      </c>
    </row>
    <row r="33" spans="1:25" x14ac:dyDescent="0.25">
      <c r="X33" s="5" t="s">
        <v>65</v>
      </c>
      <c r="Y33" s="7">
        <v>5</v>
      </c>
    </row>
    <row r="34" spans="1:25" x14ac:dyDescent="0.25">
      <c r="A34" s="4" t="s">
        <v>103</v>
      </c>
      <c r="B34" s="4"/>
      <c r="C34" s="4"/>
      <c r="D34" s="4"/>
      <c r="X34" s="5" t="s">
        <v>66</v>
      </c>
      <c r="Y34" s="7">
        <v>4</v>
      </c>
    </row>
    <row r="35" spans="1:25" x14ac:dyDescent="0.25">
      <c r="A35" t="s">
        <v>104</v>
      </c>
      <c r="G35" s="4" t="s">
        <v>165</v>
      </c>
      <c r="H35" s="4"/>
      <c r="M35" s="4" t="s">
        <v>190</v>
      </c>
      <c r="N35" s="4"/>
      <c r="O35" s="4"/>
      <c r="R35" s="4" t="s">
        <v>209</v>
      </c>
      <c r="S35" s="4"/>
      <c r="T35" s="4"/>
      <c r="X35" s="5" t="s">
        <v>67</v>
      </c>
      <c r="Y35" s="7">
        <v>6</v>
      </c>
    </row>
    <row r="36" spans="1:25" x14ac:dyDescent="0.25">
      <c r="A36" t="s">
        <v>113</v>
      </c>
      <c r="G36" t="s">
        <v>101</v>
      </c>
      <c r="M36" t="s">
        <v>191</v>
      </c>
      <c r="R36" t="s">
        <v>200</v>
      </c>
      <c r="X36" s="5" t="s">
        <v>68</v>
      </c>
      <c r="Y36" s="7">
        <v>2</v>
      </c>
    </row>
    <row r="37" spans="1:25" x14ac:dyDescent="0.25">
      <c r="A37" t="s">
        <v>105</v>
      </c>
      <c r="G37" t="s">
        <v>166</v>
      </c>
      <c r="M37" t="s">
        <v>192</v>
      </c>
      <c r="R37" t="s">
        <v>201</v>
      </c>
      <c r="X37" s="5" t="s">
        <v>69</v>
      </c>
      <c r="Y37" s="7">
        <v>6</v>
      </c>
    </row>
    <row r="38" spans="1:25" x14ac:dyDescent="0.25">
      <c r="A38" t="s">
        <v>106</v>
      </c>
      <c r="G38" t="s">
        <v>167</v>
      </c>
      <c r="M38" t="s">
        <v>193</v>
      </c>
      <c r="R38" t="s">
        <v>202</v>
      </c>
      <c r="X38" s="6" t="s">
        <v>70</v>
      </c>
      <c r="Y38" s="7">
        <v>1</v>
      </c>
    </row>
    <row r="39" spans="1:25" x14ac:dyDescent="0.25">
      <c r="A39" t="s">
        <v>107</v>
      </c>
      <c r="G39" t="s">
        <v>168</v>
      </c>
      <c r="M39" t="s">
        <v>194</v>
      </c>
      <c r="R39" t="s">
        <v>203</v>
      </c>
      <c r="X39" s="5" t="s">
        <v>71</v>
      </c>
      <c r="Y39" s="7">
        <v>2</v>
      </c>
    </row>
    <row r="40" spans="1:25" x14ac:dyDescent="0.25">
      <c r="A40" t="s">
        <v>114</v>
      </c>
      <c r="G40" t="s">
        <v>169</v>
      </c>
      <c r="M40" t="s">
        <v>195</v>
      </c>
      <c r="R40" t="s">
        <v>204</v>
      </c>
      <c r="X40" s="5" t="s">
        <v>72</v>
      </c>
      <c r="Y40" s="7">
        <v>3</v>
      </c>
    </row>
    <row r="41" spans="1:25" x14ac:dyDescent="0.25">
      <c r="A41" t="s">
        <v>108</v>
      </c>
      <c r="G41" t="s">
        <v>170</v>
      </c>
      <c r="M41" t="s">
        <v>196</v>
      </c>
      <c r="R41" t="s">
        <v>205</v>
      </c>
      <c r="X41" s="5" t="s">
        <v>73</v>
      </c>
      <c r="Y41" s="7">
        <v>6</v>
      </c>
    </row>
    <row r="42" spans="1:25" x14ac:dyDescent="0.25">
      <c r="A42" t="s">
        <v>109</v>
      </c>
      <c r="G42" t="s">
        <v>171</v>
      </c>
      <c r="M42" t="s">
        <v>197</v>
      </c>
      <c r="R42" t="s">
        <v>206</v>
      </c>
      <c r="X42" s="5" t="s">
        <v>74</v>
      </c>
      <c r="Y42" s="7">
        <v>4</v>
      </c>
    </row>
    <row r="43" spans="1:25" x14ac:dyDescent="0.25">
      <c r="G43" t="s">
        <v>172</v>
      </c>
      <c r="M43" t="s">
        <v>198</v>
      </c>
      <c r="R43" t="s">
        <v>207</v>
      </c>
      <c r="X43" s="5" t="s">
        <v>75</v>
      </c>
      <c r="Y43" s="7">
        <v>5</v>
      </c>
    </row>
    <row r="44" spans="1:25" x14ac:dyDescent="0.25">
      <c r="A44" s="4" t="s">
        <v>120</v>
      </c>
      <c r="B44" s="4"/>
      <c r="C44" s="4"/>
      <c r="G44" t="s">
        <v>173</v>
      </c>
      <c r="M44" t="s">
        <v>199</v>
      </c>
      <c r="R44" t="s">
        <v>208</v>
      </c>
      <c r="X44" s="5" t="s">
        <v>76</v>
      </c>
      <c r="Y44" s="7">
        <v>6</v>
      </c>
    </row>
    <row r="45" spans="1:25" x14ac:dyDescent="0.25">
      <c r="A45" t="s">
        <v>115</v>
      </c>
      <c r="G45" t="s">
        <v>174</v>
      </c>
      <c r="M45" s="4" t="s">
        <v>190</v>
      </c>
      <c r="N45" s="4"/>
      <c r="O45" s="4"/>
      <c r="X45" s="5" t="s">
        <v>77</v>
      </c>
      <c r="Y45" s="7">
        <v>4</v>
      </c>
    </row>
    <row r="46" spans="1:25" x14ac:dyDescent="0.25">
      <c r="A46" t="s">
        <v>116</v>
      </c>
      <c r="G46" t="s">
        <v>175</v>
      </c>
      <c r="M46" t="s">
        <v>288</v>
      </c>
      <c r="X46" s="5" t="s">
        <v>78</v>
      </c>
      <c r="Y46" s="7">
        <v>3</v>
      </c>
    </row>
    <row r="47" spans="1:25" x14ac:dyDescent="0.25">
      <c r="A47" t="s">
        <v>117</v>
      </c>
      <c r="M47" t="s">
        <v>289</v>
      </c>
      <c r="X47" s="5" t="s">
        <v>79</v>
      </c>
      <c r="Y47" s="7">
        <v>3</v>
      </c>
    </row>
    <row r="48" spans="1:25" x14ac:dyDescent="0.25">
      <c r="A48" t="s">
        <v>118</v>
      </c>
      <c r="M48" t="s">
        <v>290</v>
      </c>
      <c r="R48" s="4" t="s">
        <v>213</v>
      </c>
      <c r="S48" s="4"/>
      <c r="T48" s="4"/>
      <c r="X48" s="5" t="s">
        <v>80</v>
      </c>
      <c r="Y48" s="7">
        <v>6</v>
      </c>
    </row>
    <row r="49" spans="1:25" x14ac:dyDescent="0.25">
      <c r="A49" t="s">
        <v>119</v>
      </c>
      <c r="G49" s="4" t="s">
        <v>179</v>
      </c>
      <c r="H49" s="4"/>
      <c r="I49" s="4"/>
      <c r="M49" t="s">
        <v>291</v>
      </c>
      <c r="R49" t="s">
        <v>214</v>
      </c>
      <c r="X49" s="5" t="s">
        <v>81</v>
      </c>
      <c r="Y49" s="7">
        <v>4</v>
      </c>
    </row>
    <row r="50" spans="1:25" x14ac:dyDescent="0.25">
      <c r="G50" t="s">
        <v>176</v>
      </c>
      <c r="M50" t="s">
        <v>292</v>
      </c>
      <c r="R50" t="s">
        <v>215</v>
      </c>
      <c r="X50" s="5" t="s">
        <v>82</v>
      </c>
      <c r="Y50" s="7">
        <v>4</v>
      </c>
    </row>
    <row r="51" spans="1:25" x14ac:dyDescent="0.25">
      <c r="A51" s="4" t="s">
        <v>153</v>
      </c>
      <c r="B51" s="4"/>
      <c r="C51" s="4"/>
      <c r="D51" s="4"/>
      <c r="G51" t="s">
        <v>298</v>
      </c>
      <c r="M51" t="s">
        <v>293</v>
      </c>
      <c r="R51" t="s">
        <v>216</v>
      </c>
      <c r="X51" s="5" t="s">
        <v>83</v>
      </c>
      <c r="Y51" s="7">
        <v>3</v>
      </c>
    </row>
    <row r="52" spans="1:25" x14ac:dyDescent="0.25">
      <c r="A52" t="s">
        <v>99</v>
      </c>
      <c r="G52" t="s">
        <v>177</v>
      </c>
      <c r="M52" t="s">
        <v>294</v>
      </c>
      <c r="R52" t="s">
        <v>217</v>
      </c>
      <c r="X52" s="5" t="s">
        <v>84</v>
      </c>
      <c r="Y52" s="7">
        <v>4</v>
      </c>
    </row>
    <row r="53" spans="1:25" x14ac:dyDescent="0.25">
      <c r="A53" t="s">
        <v>100</v>
      </c>
      <c r="G53" t="s">
        <v>178</v>
      </c>
      <c r="M53" t="s">
        <v>295</v>
      </c>
      <c r="R53" t="s">
        <v>218</v>
      </c>
      <c r="X53" s="5" t="s">
        <v>85</v>
      </c>
      <c r="Y53" s="7">
        <v>5</v>
      </c>
    </row>
    <row r="54" spans="1:25" x14ac:dyDescent="0.25">
      <c r="A54" t="s">
        <v>101</v>
      </c>
      <c r="M54" t="s">
        <v>296</v>
      </c>
      <c r="X54" s="5" t="s">
        <v>86</v>
      </c>
      <c r="Y54" s="7">
        <v>6</v>
      </c>
    </row>
    <row r="55" spans="1:25" x14ac:dyDescent="0.25">
      <c r="A55" t="s">
        <v>111</v>
      </c>
      <c r="M55" t="s">
        <v>188</v>
      </c>
      <c r="X55" s="6" t="s">
        <v>87</v>
      </c>
      <c r="Y55" s="7">
        <v>1</v>
      </c>
    </row>
    <row r="56" spans="1:25" x14ac:dyDescent="0.25">
      <c r="A56" t="s">
        <v>112</v>
      </c>
      <c r="G56" s="4" t="s">
        <v>189</v>
      </c>
      <c r="H56" s="4"/>
      <c r="I56" s="4"/>
      <c r="J56" s="4"/>
      <c r="X56" s="5" t="s">
        <v>88</v>
      </c>
      <c r="Y56" s="7">
        <v>3</v>
      </c>
    </row>
    <row r="57" spans="1:25" x14ac:dyDescent="0.25">
      <c r="A57" t="s">
        <v>102</v>
      </c>
      <c r="G57" t="s">
        <v>180</v>
      </c>
      <c r="R57" s="4" t="s">
        <v>224</v>
      </c>
      <c r="S57" s="4"/>
      <c r="X57" s="5" t="s">
        <v>89</v>
      </c>
      <c r="Y57" s="7">
        <v>3</v>
      </c>
    </row>
    <row r="58" spans="1:25" x14ac:dyDescent="0.25">
      <c r="G58" t="s">
        <v>181</v>
      </c>
      <c r="R58" t="s">
        <v>225</v>
      </c>
      <c r="X58" s="5" t="s">
        <v>90</v>
      </c>
      <c r="Y58" s="7">
        <v>6</v>
      </c>
    </row>
    <row r="59" spans="1:25" x14ac:dyDescent="0.25">
      <c r="G59" t="s">
        <v>182</v>
      </c>
      <c r="R59" t="s">
        <v>226</v>
      </c>
    </row>
    <row r="60" spans="1:25" x14ac:dyDescent="0.25">
      <c r="G60" t="s">
        <v>183</v>
      </c>
      <c r="R60" t="s">
        <v>227</v>
      </c>
    </row>
    <row r="61" spans="1:25" x14ac:dyDescent="0.25">
      <c r="G61" t="s">
        <v>184</v>
      </c>
      <c r="R61" t="s">
        <v>228</v>
      </c>
    </row>
    <row r="62" spans="1:25" x14ac:dyDescent="0.25">
      <c r="A62" s="4" t="s">
        <v>219</v>
      </c>
      <c r="B62" s="4"/>
      <c r="C62" s="4"/>
      <c r="G62" t="s">
        <v>185</v>
      </c>
    </row>
    <row r="63" spans="1:25" x14ac:dyDescent="0.25">
      <c r="A63" t="s">
        <v>220</v>
      </c>
      <c r="G63" t="s">
        <v>186</v>
      </c>
      <c r="M63" s="4" t="s">
        <v>247</v>
      </c>
      <c r="N63" s="4"/>
      <c r="O63" s="4"/>
    </row>
    <row r="64" spans="1:25" x14ac:dyDescent="0.25">
      <c r="A64" t="s">
        <v>221</v>
      </c>
      <c r="G64" t="s">
        <v>187</v>
      </c>
      <c r="M64" t="s">
        <v>248</v>
      </c>
      <c r="R64" s="4" t="s">
        <v>261</v>
      </c>
      <c r="S64" s="4"/>
      <c r="T64" s="4"/>
    </row>
    <row r="65" spans="1:21" x14ac:dyDescent="0.25">
      <c r="A65" t="s">
        <v>222</v>
      </c>
      <c r="G65" t="s">
        <v>188</v>
      </c>
      <c r="M65" t="s">
        <v>249</v>
      </c>
      <c r="R65" t="s">
        <v>275</v>
      </c>
    </row>
    <row r="66" spans="1:21" x14ac:dyDescent="0.25">
      <c r="A66" t="s">
        <v>223</v>
      </c>
      <c r="M66" t="s">
        <v>250</v>
      </c>
      <c r="R66" t="s">
        <v>256</v>
      </c>
    </row>
    <row r="67" spans="1:21" x14ac:dyDescent="0.25">
      <c r="M67" t="s">
        <v>251</v>
      </c>
      <c r="R67" t="s">
        <v>257</v>
      </c>
    </row>
    <row r="68" spans="1:21" x14ac:dyDescent="0.25">
      <c r="M68" t="s">
        <v>252</v>
      </c>
      <c r="R68" t="s">
        <v>258</v>
      </c>
    </row>
    <row r="69" spans="1:21" x14ac:dyDescent="0.25">
      <c r="M69" t="s">
        <v>253</v>
      </c>
      <c r="R69" t="s">
        <v>259</v>
      </c>
    </row>
    <row r="70" spans="1:21" x14ac:dyDescent="0.25">
      <c r="A70" s="4" t="s">
        <v>276</v>
      </c>
      <c r="B70" s="4"/>
      <c r="C70" s="4"/>
      <c r="D70" s="4"/>
      <c r="E70" s="4"/>
      <c r="M70" t="s">
        <v>254</v>
      </c>
      <c r="R70" t="s">
        <v>260</v>
      </c>
    </row>
    <row r="71" spans="1:21" x14ac:dyDescent="0.25">
      <c r="A71" t="s">
        <v>238</v>
      </c>
      <c r="M71" t="s">
        <v>255</v>
      </c>
    </row>
    <row r="72" spans="1:21" x14ac:dyDescent="0.25">
      <c r="A72" t="s">
        <v>239</v>
      </c>
    </row>
    <row r="73" spans="1:21" x14ac:dyDescent="0.25">
      <c r="A73" t="s">
        <v>240</v>
      </c>
      <c r="M73" s="4" t="s">
        <v>266</v>
      </c>
      <c r="N73" s="4"/>
      <c r="O73" s="4"/>
      <c r="P73" s="4"/>
      <c r="R73" s="4" t="s">
        <v>264</v>
      </c>
      <c r="S73" s="4"/>
      <c r="T73" s="4"/>
    </row>
    <row r="74" spans="1:21" x14ac:dyDescent="0.25">
      <c r="A74" t="s">
        <v>241</v>
      </c>
      <c r="M74" t="s">
        <v>93</v>
      </c>
      <c r="R74" t="s">
        <v>93</v>
      </c>
    </row>
    <row r="75" spans="1:21" x14ac:dyDescent="0.25">
      <c r="A75" t="s">
        <v>242</v>
      </c>
      <c r="M75" t="s">
        <v>94</v>
      </c>
      <c r="R75" t="s">
        <v>94</v>
      </c>
    </row>
    <row r="76" spans="1:21" x14ac:dyDescent="0.25">
      <c r="A76" t="s">
        <v>243</v>
      </c>
      <c r="M76" t="s">
        <v>262</v>
      </c>
      <c r="R76" t="s">
        <v>265</v>
      </c>
    </row>
    <row r="77" spans="1:21" x14ac:dyDescent="0.25">
      <c r="A77" t="s">
        <v>244</v>
      </c>
    </row>
    <row r="78" spans="1:21" x14ac:dyDescent="0.25">
      <c r="A78" t="s">
        <v>245</v>
      </c>
    </row>
    <row r="79" spans="1:21" x14ac:dyDescent="0.25">
      <c r="A79" t="s">
        <v>246</v>
      </c>
      <c r="M79" s="4" t="s">
        <v>267</v>
      </c>
      <c r="N79" s="4"/>
      <c r="O79" s="4"/>
      <c r="P79" s="4"/>
      <c r="R79" s="4" t="s">
        <v>210</v>
      </c>
      <c r="S79" s="4"/>
      <c r="T79" s="4"/>
      <c r="U79" s="4"/>
    </row>
    <row r="80" spans="1:21" x14ac:dyDescent="0.25">
      <c r="A80" t="s">
        <v>199</v>
      </c>
      <c r="M80" t="s">
        <v>93</v>
      </c>
      <c r="R80" t="s">
        <v>211</v>
      </c>
    </row>
    <row r="81" spans="1:18" x14ac:dyDescent="0.25">
      <c r="M81" t="s">
        <v>94</v>
      </c>
      <c r="R81" t="s">
        <v>212</v>
      </c>
    </row>
    <row r="82" spans="1:18" x14ac:dyDescent="0.25">
      <c r="F82" s="4" t="s">
        <v>335</v>
      </c>
      <c r="G82" s="4"/>
      <c r="H82" s="4"/>
      <c r="M82" t="s">
        <v>263</v>
      </c>
      <c r="R82" t="s">
        <v>110</v>
      </c>
    </row>
    <row r="83" spans="1:18" x14ac:dyDescent="0.25">
      <c r="F83" t="s">
        <v>314</v>
      </c>
      <c r="R83" t="s">
        <v>96</v>
      </c>
    </row>
    <row r="84" spans="1:18" x14ac:dyDescent="0.25">
      <c r="A84" s="24"/>
      <c r="B84" s="24"/>
      <c r="F84" t="s">
        <v>334</v>
      </c>
      <c r="M84" s="4" t="s">
        <v>268</v>
      </c>
      <c r="N84" s="4"/>
      <c r="O84" s="4"/>
      <c r="P84" s="4"/>
      <c r="R84" t="s">
        <v>97</v>
      </c>
    </row>
    <row r="85" spans="1:18" x14ac:dyDescent="0.25">
      <c r="A85" s="24"/>
      <c r="B85" s="24"/>
      <c r="F85" t="s">
        <v>315</v>
      </c>
      <c r="M85" t="s">
        <v>93</v>
      </c>
      <c r="R85" t="s">
        <v>188</v>
      </c>
    </row>
    <row r="86" spans="1:18" x14ac:dyDescent="0.25">
      <c r="A86" s="24"/>
      <c r="B86" s="24"/>
      <c r="F86" t="s">
        <v>318</v>
      </c>
      <c r="M86" t="s">
        <v>94</v>
      </c>
    </row>
    <row r="87" spans="1:18" x14ac:dyDescent="0.25">
      <c r="A87" s="24"/>
      <c r="B87" s="24"/>
      <c r="M87" t="s">
        <v>269</v>
      </c>
    </row>
    <row r="89" spans="1:18" x14ac:dyDescent="0.25">
      <c r="M89" s="4" t="s">
        <v>336</v>
      </c>
      <c r="N89" s="4"/>
      <c r="O89" s="4"/>
      <c r="P89" s="4"/>
    </row>
    <row r="90" spans="1:18" x14ac:dyDescent="0.25">
      <c r="B90" s="582" t="s">
        <v>310</v>
      </c>
      <c r="C90" s="582"/>
      <c r="D90" s="582"/>
      <c r="E90" s="582"/>
      <c r="M90" t="s">
        <v>93</v>
      </c>
    </row>
    <row r="91" spans="1:18" x14ac:dyDescent="0.25">
      <c r="B91" s="582" t="s">
        <v>311</v>
      </c>
      <c r="C91" s="582"/>
      <c r="D91" s="582"/>
      <c r="E91" s="582"/>
      <c r="M91" t="s">
        <v>94</v>
      </c>
    </row>
    <row r="92" spans="1:18" x14ac:dyDescent="0.25">
      <c r="B92" s="582" t="s">
        <v>312</v>
      </c>
      <c r="C92" s="582"/>
      <c r="D92" s="582"/>
      <c r="E92" s="582"/>
    </row>
    <row r="94" spans="1:18" x14ac:dyDescent="0.25">
      <c r="B94" t="s">
        <v>310</v>
      </c>
      <c r="L94" s="4" t="s">
        <v>337</v>
      </c>
      <c r="M94" s="4"/>
      <c r="N94" s="4"/>
      <c r="O94" s="4"/>
      <c r="P94" s="4"/>
    </row>
    <row r="95" spans="1:18" x14ac:dyDescent="0.25">
      <c r="B95" t="s">
        <v>474</v>
      </c>
      <c r="L95" t="s">
        <v>339</v>
      </c>
    </row>
    <row r="96" spans="1:18" x14ac:dyDescent="0.25">
      <c r="B96" t="s">
        <v>475</v>
      </c>
      <c r="L96" t="s">
        <v>410</v>
      </c>
    </row>
    <row r="97" spans="1:12" x14ac:dyDescent="0.25">
      <c r="L97" t="s">
        <v>411</v>
      </c>
    </row>
    <row r="98" spans="1:12" x14ac:dyDescent="0.25">
      <c r="L98" t="s">
        <v>338</v>
      </c>
    </row>
    <row r="104" spans="1:12" x14ac:dyDescent="0.25">
      <c r="A104" s="58" t="s">
        <v>477</v>
      </c>
      <c r="B104" s="58"/>
    </row>
    <row r="105" spans="1:12" x14ac:dyDescent="0.25">
      <c r="A105" s="58" t="s">
        <v>478</v>
      </c>
      <c r="B105" s="58"/>
    </row>
  </sheetData>
  <mergeCells count="3">
    <mergeCell ref="B90:E90"/>
    <mergeCell ref="B91:E91"/>
    <mergeCell ref="B92:E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BASE GRANTEE INFO &amp; UPDATE</vt:lpstr>
      <vt:lpstr>Client Tally</vt:lpstr>
      <vt:lpstr>PRSS if needed</vt:lpstr>
      <vt:lpstr>CONSUMER FEEDBACK </vt:lpstr>
      <vt:lpstr>SUMMARY</vt:lpstr>
      <vt:lpstr>Pick List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Perry, Saundra K</cp:lastModifiedBy>
  <dcterms:created xsi:type="dcterms:W3CDTF">2019-07-05T12:37:44Z</dcterms:created>
  <dcterms:modified xsi:type="dcterms:W3CDTF">2024-12-04T16:47:00Z</dcterms:modified>
</cp:coreProperties>
</file>